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790" yWindow="-1530" windowWidth="15360" windowHeight="9060"/>
  </bookViews>
  <sheets>
    <sheet name="Magic Totals" sheetId="1" r:id="rId1"/>
    <sheet name="Tables" sheetId="2" r:id="rId2"/>
  </sheets>
  <definedNames>
    <definedName name="Af_An">'Magic Totals'!$Z$8</definedName>
    <definedName name="Af_Aq">'Magic Totals'!$Z$9</definedName>
    <definedName name="Af_Au">'Magic Totals'!$Z$10</definedName>
    <definedName name="Af_Co">'Magic Totals'!$Z$11</definedName>
    <definedName name="Af_Cr">'Magic Totals'!$Z$3</definedName>
    <definedName name="Af_He">'Magic Totals'!$Z$12</definedName>
    <definedName name="Af_Ig">'Magic Totals'!$Z$13</definedName>
    <definedName name="Af_Im">'Magic Totals'!$Z$14</definedName>
    <definedName name="Af_In">'Magic Totals'!$Z$4</definedName>
    <definedName name="Af_Me">'Magic Totals'!$Z$15</definedName>
    <definedName name="Af_Mu">'Magic Totals'!$Z$5</definedName>
    <definedName name="Af_Pe">'Magic Totals'!$Z$6</definedName>
    <definedName name="Af_Re">'Magic Totals'!$Z$7</definedName>
    <definedName name="Af_Te">'Magic Totals'!$Z$16</definedName>
    <definedName name="Af_Vi">'Magic Totals'!$Z$17</definedName>
    <definedName name="ALi">'Magic Totals'!$N$28</definedName>
    <definedName name="An">'Magic Totals'!$U$28</definedName>
    <definedName name="Aq">'Magic Totals'!$U$29</definedName>
    <definedName name="arts1">Tables!$A$3:$B$53</definedName>
    <definedName name="arts2">Tables!$B$3:$C$53</definedName>
    <definedName name="artscost">'Magic Totals'!$AC$23</definedName>
    <definedName name="Au">'Magic Totals'!$U$30</definedName>
    <definedName name="Aura">'Magic Totals'!$P$30</definedName>
    <definedName name="Cer">'Magic Totals'!#REF!</definedName>
    <definedName name="Co">'Magic Totals'!$U$31</definedName>
    <definedName name="Con">'Magic Totals'!$N$29</definedName>
    <definedName name="Cr">'Magic Totals'!$S$28</definedName>
    <definedName name="EffLvl">'Magic Totals'!$AD$20</definedName>
    <definedName name="Enc">'Magic Totals'!$P$29</definedName>
    <definedName name="EncTal">'Magic Totals'!$AD$21</definedName>
    <definedName name="Fin">'Magic Totals'!$N$30</definedName>
    <definedName name="He">'Magic Totals'!$U$32</definedName>
    <definedName name="Ig">'Magic Totals'!$W$28</definedName>
    <definedName name="IGen">'Magic Totals'!$P$32</definedName>
    <definedName name="Im">'Magic Totals'!$W$29</definedName>
    <definedName name="In">'Magic Totals'!$S$29</definedName>
    <definedName name="Int">'Magic Totals'!$L$28</definedName>
    <definedName name="LTAn">'Magic Totals'!$AI$20</definedName>
    <definedName name="LTAq">'Magic Totals'!$AI$21</definedName>
    <definedName name="LTAu">'Magic Totals'!$AI$22</definedName>
    <definedName name="LTCo">'Magic Totals'!$AI$23</definedName>
    <definedName name="LTCr">'Magic Totals'!$AG$20</definedName>
    <definedName name="LTHe">'Magic Totals'!$AI$24</definedName>
    <definedName name="LTIg">'Magic Totals'!$AK$20</definedName>
    <definedName name="LTIm">'Magic Totals'!$AK$21</definedName>
    <definedName name="LTIn">'Magic Totals'!$AG$21</definedName>
    <definedName name="LTMe">'Magic Totals'!$AK$22</definedName>
    <definedName name="LTMu">'Magic Totals'!$AG$22</definedName>
    <definedName name="LTPe">'Magic Totals'!$AG$23</definedName>
    <definedName name="LTRe">'Magic Totals'!$AG$24</definedName>
    <definedName name="LTTe">'Magic Totals'!$AK$23</definedName>
    <definedName name="LTVi">'Magic Totals'!$AK$24</definedName>
    <definedName name="Me">'Magic Totals'!$W$30</definedName>
    <definedName name="MT">'Magic Totals'!$N$31</definedName>
    <definedName name="Mu">'Magic Totals'!$S$30</definedName>
    <definedName name="Pe">'Magic Totals'!$S$31</definedName>
    <definedName name="Per">'Magic Totals'!$L$29</definedName>
    <definedName name="Phi">'Magic Totals'!$P$28</definedName>
    <definedName name="pointsleft">'Magic Totals'!$AC$24</definedName>
    <definedName name="_xlnm.Print_Area" localSheetId="0">'Magic Totals'!$A$1:$W$39</definedName>
    <definedName name="Pui_An">'Magic Totals'!$AA$8</definedName>
    <definedName name="Pui_Aq">'Magic Totals'!$AA$9</definedName>
    <definedName name="Pui_Au">'Magic Totals'!$AA$10</definedName>
    <definedName name="Pui_Co">'Magic Totals'!$AA$11</definedName>
    <definedName name="Pui_Cr">'Magic Totals'!$AA$3</definedName>
    <definedName name="Pui_He">'Magic Totals'!$AA$12</definedName>
    <definedName name="Pui_Ig">'Magic Totals'!$AA$13</definedName>
    <definedName name="Pui_Im">'Magic Totals'!$AA$14</definedName>
    <definedName name="Pui_In">'Magic Totals'!$AA$4</definedName>
    <definedName name="Pui_Me">'Magic Totals'!$AA$15</definedName>
    <definedName name="Pui_MT">'Magic Totals'!$AA$18</definedName>
    <definedName name="Pui_Mu">'Magic Totals'!$AA$5</definedName>
    <definedName name="Pui_Pe">'Magic Totals'!$AA$6</definedName>
    <definedName name="Pui_Re">'Magic Totals'!$AA$7</definedName>
    <definedName name="Pui_Te">'Magic Totals'!$AA$16</definedName>
    <definedName name="Pui_Vi">'Magic Totals'!$AA$17</definedName>
    <definedName name="Qui">'Magic Totals'!$L$31</definedName>
    <definedName name="Re">'Magic Totals'!$S$32</definedName>
    <definedName name="spendpoints">'Magic Totals'!$AC$22</definedName>
    <definedName name="Stm">'Magic Totals'!$L$30</definedName>
    <definedName name="TAn">'Magic Totals'!$AI$28</definedName>
    <definedName name="TAq">'Magic Totals'!$AI$29</definedName>
    <definedName name="TAu">'Magic Totals'!$AI$30</definedName>
    <definedName name="TCo">'Magic Totals'!$AI$31</definedName>
    <definedName name="TCr">'Magic Totals'!$AG$28</definedName>
    <definedName name="Te">'Magic Totals'!$W$31</definedName>
    <definedName name="THe">'Magic Totals'!$AI$32</definedName>
    <definedName name="TIg">'Magic Totals'!$AK$28</definedName>
    <definedName name="TIm">'Magic Totals'!$AK$29</definedName>
    <definedName name="TIn">'Magic Totals'!$AG$29</definedName>
    <definedName name="TMe">'Magic Totals'!$AK$30</definedName>
    <definedName name="TMu">'Magic Totals'!$AG$30</definedName>
    <definedName name="TPe">'Magic Totals'!$AG$31</definedName>
    <definedName name="TRe">'Magic Totals'!$AG$32</definedName>
    <definedName name="TTe">'Magic Totals'!$AK$31</definedName>
    <definedName name="TVi">'Magic Totals'!$AK$32</definedName>
    <definedName name="Vi">'Magic Totals'!$W$32</definedName>
  </definedNames>
  <calcPr calcId="124519"/>
</workbook>
</file>

<file path=xl/calcChain.xml><?xml version="1.0" encoding="utf-8"?>
<calcChain xmlns="http://schemas.openxmlformats.org/spreadsheetml/2006/main">
  <c r="H30" i="1"/>
  <c r="H31"/>
  <c r="H29"/>
  <c r="H28"/>
  <c r="B5" i="2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4"/>
  <c r="AC23" i="1"/>
  <c r="AC24" s="1"/>
  <c r="W31"/>
  <c r="W28"/>
  <c r="U32"/>
  <c r="U30"/>
  <c r="U28"/>
  <c r="S31"/>
  <c r="P7" s="1"/>
  <c r="AF7" s="1"/>
  <c r="S29"/>
  <c r="B21" s="1"/>
  <c r="W32"/>
  <c r="W30"/>
  <c r="W29"/>
  <c r="U31"/>
  <c r="U29"/>
  <c r="S32"/>
  <c r="V8" s="1"/>
  <c r="AL8" s="1"/>
  <c r="S30"/>
  <c r="S28"/>
  <c r="V4" s="1"/>
  <c r="AL4" s="1"/>
  <c r="B29" i="2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W6" i="1" l="1"/>
  <c r="AM6" s="1"/>
  <c r="Q7"/>
  <c r="AG7" s="1"/>
  <c r="U7"/>
  <c r="AK7" s="1"/>
  <c r="T7"/>
  <c r="AJ7" s="1"/>
  <c r="W7"/>
  <c r="AM7" s="1"/>
  <c r="R7"/>
  <c r="AH7" s="1"/>
  <c r="V7"/>
  <c r="AL7" s="1"/>
  <c r="S7"/>
  <c r="AI7" s="1"/>
  <c r="N8"/>
  <c r="AD8" s="1"/>
  <c r="P8"/>
  <c r="AF8" s="1"/>
  <c r="W8"/>
  <c r="AM8" s="1"/>
  <c r="O8"/>
  <c r="AE8" s="1"/>
  <c r="Q8"/>
  <c r="AG8" s="1"/>
  <c r="R8"/>
  <c r="AH8" s="1"/>
  <c r="S8"/>
  <c r="AI8" s="1"/>
  <c r="O7"/>
  <c r="AE7" s="1"/>
  <c r="O6"/>
  <c r="AE6" s="1"/>
  <c r="Q6"/>
  <c r="AG6" s="1"/>
  <c r="R6"/>
  <c r="AH6" s="1"/>
  <c r="V6"/>
  <c r="AL6" s="1"/>
  <c r="P6"/>
  <c r="AF6" s="1"/>
  <c r="S6"/>
  <c r="AI6" s="1"/>
  <c r="O5"/>
  <c r="AE5" s="1"/>
  <c r="P5"/>
  <c r="AF5" s="1"/>
  <c r="R5"/>
  <c r="AH5" s="1"/>
  <c r="S5"/>
  <c r="AI5" s="1"/>
  <c r="V5"/>
  <c r="AL5" s="1"/>
  <c r="F20"/>
  <c r="O4"/>
  <c r="AE4" s="1"/>
  <c r="Q4"/>
  <c r="AG4" s="1"/>
  <c r="S4"/>
  <c r="AI4" s="1"/>
  <c r="W4"/>
  <c r="AM4" s="1"/>
  <c r="P4"/>
  <c r="AF4" s="1"/>
  <c r="R4"/>
  <c r="AH4" s="1"/>
  <c r="Q5"/>
  <c r="AG5" s="1"/>
  <c r="N5"/>
  <c r="AD5" s="1"/>
  <c r="N7"/>
  <c r="AD7" s="1"/>
  <c r="N4"/>
  <c r="AD4" s="1"/>
  <c r="N6"/>
  <c r="AD6" s="1"/>
  <c r="W5"/>
  <c r="AM5" s="1"/>
  <c r="U4"/>
  <c r="AK4" s="1"/>
  <c r="U6"/>
  <c r="AK6" s="1"/>
  <c r="U8"/>
  <c r="AK8" s="1"/>
  <c r="U5"/>
  <c r="AK5" s="1"/>
  <c r="T4"/>
  <c r="AJ4" s="1"/>
  <c r="T6"/>
  <c r="AJ6" s="1"/>
  <c r="T8"/>
  <c r="AJ8" s="1"/>
  <c r="T5"/>
  <c r="AJ5" s="1"/>
  <c r="P21"/>
  <c r="V13"/>
  <c r="Q13"/>
  <c r="U13"/>
  <c r="H21"/>
  <c r="T13"/>
  <c r="V14"/>
  <c r="F15"/>
  <c r="E13"/>
  <c r="J21"/>
  <c r="B5"/>
  <c r="T21"/>
  <c r="N12"/>
  <c r="D12"/>
  <c r="F16"/>
  <c r="H16"/>
  <c r="K24"/>
  <c r="R16"/>
  <c r="I16"/>
  <c r="B24"/>
  <c r="O24"/>
  <c r="E23"/>
  <c r="K15"/>
  <c r="N23"/>
  <c r="E15"/>
  <c r="K23"/>
  <c r="C23"/>
  <c r="C7"/>
  <c r="B23"/>
  <c r="J7"/>
  <c r="G15"/>
  <c r="Q22"/>
  <c r="O14"/>
  <c r="C22"/>
  <c r="C14"/>
  <c r="K22"/>
  <c r="P14"/>
  <c r="R20"/>
  <c r="Q20"/>
  <c r="K21"/>
  <c r="W16"/>
  <c r="W20"/>
  <c r="K20"/>
  <c r="W23"/>
  <c r="K7"/>
  <c r="K14"/>
  <c r="W21"/>
  <c r="W14"/>
  <c r="J4"/>
  <c r="J22"/>
  <c r="I4"/>
  <c r="I5"/>
  <c r="T12"/>
  <c r="H8"/>
  <c r="T16"/>
  <c r="G23"/>
  <c r="G4"/>
  <c r="R24"/>
  <c r="F21"/>
  <c r="P12"/>
  <c r="D7"/>
  <c r="P23"/>
  <c r="O16"/>
  <c r="O23"/>
  <c r="B15"/>
  <c r="T24"/>
  <c r="K16"/>
  <c r="E24"/>
  <c r="J16"/>
  <c r="D24"/>
  <c r="S24"/>
  <c r="H24"/>
  <c r="P16"/>
  <c r="K8"/>
  <c r="E16"/>
  <c r="F23"/>
  <c r="Q23"/>
  <c r="V23"/>
  <c r="B7"/>
  <c r="D15"/>
  <c r="S15"/>
  <c r="J15"/>
  <c r="H7"/>
  <c r="T23"/>
  <c r="D23"/>
  <c r="E7"/>
  <c r="H15"/>
  <c r="H23"/>
  <c r="I23"/>
  <c r="I15"/>
  <c r="U22"/>
  <c r="T14"/>
  <c r="B6"/>
  <c r="F6"/>
  <c r="Q14"/>
  <c r="G22"/>
  <c r="J6"/>
  <c r="I6"/>
  <c r="B22"/>
  <c r="H14"/>
  <c r="P22"/>
  <c r="O13"/>
  <c r="H5"/>
  <c r="S13"/>
  <c r="C5"/>
  <c r="D5"/>
  <c r="R21"/>
  <c r="O21"/>
  <c r="D13"/>
  <c r="K5"/>
  <c r="G5"/>
  <c r="C21"/>
  <c r="B8"/>
  <c r="D16"/>
  <c r="F8"/>
  <c r="N16"/>
  <c r="Q16"/>
  <c r="C16"/>
  <c r="C8"/>
  <c r="J24"/>
  <c r="J8"/>
  <c r="U16"/>
  <c r="W24"/>
  <c r="V16"/>
  <c r="E8"/>
  <c r="G8"/>
  <c r="D8"/>
  <c r="S23"/>
  <c r="V15"/>
  <c r="C15"/>
  <c r="R15"/>
  <c r="T15"/>
  <c r="P15"/>
  <c r="W15"/>
  <c r="G7"/>
  <c r="Q15"/>
  <c r="R23"/>
  <c r="J23"/>
  <c r="O15"/>
  <c r="U23"/>
  <c r="N15"/>
  <c r="F7"/>
  <c r="U15"/>
  <c r="I7"/>
  <c r="K6"/>
  <c r="F14"/>
  <c r="R22"/>
  <c r="S14"/>
  <c r="B14"/>
  <c r="D22"/>
  <c r="E6"/>
  <c r="G6"/>
  <c r="V22"/>
  <c r="J14"/>
  <c r="U14"/>
  <c r="I14"/>
  <c r="H22"/>
  <c r="H6"/>
  <c r="C6"/>
  <c r="G14"/>
  <c r="E22"/>
  <c r="G16"/>
  <c r="I8"/>
  <c r="N24"/>
  <c r="P24"/>
  <c r="F24"/>
  <c r="G24"/>
  <c r="S16"/>
  <c r="U24"/>
  <c r="I24"/>
  <c r="V24"/>
  <c r="Q24"/>
  <c r="B16"/>
  <c r="C24"/>
  <c r="I22"/>
  <c r="R14"/>
  <c r="F22"/>
  <c r="W22"/>
  <c r="T22"/>
  <c r="S22"/>
  <c r="O22"/>
  <c r="E14"/>
  <c r="D6"/>
  <c r="D14"/>
  <c r="N22"/>
  <c r="N14"/>
  <c r="E21"/>
  <c r="Q21"/>
  <c r="R13"/>
  <c r="N21"/>
  <c r="G21"/>
  <c r="H13"/>
  <c r="W13"/>
  <c r="U21"/>
  <c r="J5"/>
  <c r="K13"/>
  <c r="C13"/>
  <c r="N13"/>
  <c r="P13"/>
  <c r="F13"/>
  <c r="J13"/>
  <c r="D21"/>
  <c r="S21"/>
  <c r="V21"/>
  <c r="I13"/>
  <c r="F5"/>
  <c r="I21"/>
  <c r="E5"/>
  <c r="G13"/>
  <c r="B13"/>
  <c r="H4"/>
  <c r="F4"/>
  <c r="Q12"/>
  <c r="V12"/>
  <c r="G12"/>
  <c r="B4"/>
  <c r="T20"/>
  <c r="O12"/>
  <c r="O20"/>
  <c r="I12"/>
  <c r="I20"/>
  <c r="U20"/>
  <c r="C12"/>
  <c r="P20"/>
  <c r="W12"/>
  <c r="F12"/>
  <c r="S12"/>
  <c r="N20"/>
  <c r="E12"/>
  <c r="G20"/>
  <c r="J20"/>
  <c r="V20"/>
  <c r="R12"/>
  <c r="D4"/>
  <c r="H20"/>
  <c r="B12"/>
  <c r="H12"/>
  <c r="K12"/>
  <c r="B20"/>
  <c r="E4"/>
  <c r="E20"/>
  <c r="K4"/>
  <c r="D20"/>
  <c r="J12"/>
  <c r="C20"/>
  <c r="U12"/>
  <c r="C4"/>
  <c r="S20"/>
</calcChain>
</file>

<file path=xl/sharedStrings.xml><?xml version="1.0" encoding="utf-8"?>
<sst xmlns="http://schemas.openxmlformats.org/spreadsheetml/2006/main" count="238" uniqueCount="72">
  <si>
    <t>An</t>
  </si>
  <si>
    <t>Aq</t>
  </si>
  <si>
    <t>Au</t>
  </si>
  <si>
    <t>Co</t>
  </si>
  <si>
    <t>He</t>
  </si>
  <si>
    <t>Ig</t>
  </si>
  <si>
    <t>Im</t>
  </si>
  <si>
    <t>Me</t>
  </si>
  <si>
    <t>Te</t>
  </si>
  <si>
    <t>Vi</t>
  </si>
  <si>
    <t>Cr</t>
  </si>
  <si>
    <t>In</t>
  </si>
  <si>
    <t>Mu</t>
  </si>
  <si>
    <t>Pe</t>
  </si>
  <si>
    <t>Re</t>
  </si>
  <si>
    <t>MT</t>
  </si>
  <si>
    <t>Int</t>
  </si>
  <si>
    <t>Stm</t>
  </si>
  <si>
    <t>Art Scores</t>
  </si>
  <si>
    <r>
      <t xml:space="preserve">Basic totals </t>
    </r>
    <r>
      <rPr>
        <sz val="10"/>
        <rFont val="Verdana"/>
        <family val="2"/>
      </rPr>
      <t>(Technique+Form)</t>
    </r>
  </si>
  <si>
    <t xml:space="preserve">Lab totals </t>
  </si>
  <si>
    <t>Per</t>
  </si>
  <si>
    <t>Con</t>
  </si>
  <si>
    <t>Fin</t>
  </si>
  <si>
    <t>Aura</t>
  </si>
  <si>
    <t>Fast-Cast Speed</t>
  </si>
  <si>
    <t>Max Vis per season</t>
  </si>
  <si>
    <t>(Int+Magic Theory+Technique+Form+Aura)</t>
  </si>
  <si>
    <t>Concentration roll</t>
  </si>
  <si>
    <r>
      <t xml:space="preserve">Formulaic </t>
    </r>
    <r>
      <rPr>
        <sz val="10"/>
        <rFont val="Verdana"/>
        <family val="2"/>
      </rPr>
      <t>(Stm+Technique+Form-Enc)</t>
    </r>
  </si>
  <si>
    <r>
      <t>Starting spells</t>
    </r>
    <r>
      <rPr>
        <sz val="10"/>
        <rFont val="Verdana"/>
        <family val="2"/>
      </rPr>
      <t xml:space="preserve"> (Int+Technique+Form+3)</t>
    </r>
  </si>
  <si>
    <t>Stats</t>
  </si>
  <si>
    <t>Skills</t>
  </si>
  <si>
    <t>Miscellaneous totals</t>
  </si>
  <si>
    <t>Arts</t>
  </si>
  <si>
    <t>score</t>
  </si>
  <si>
    <t>to buy</t>
  </si>
  <si>
    <t>to raise</t>
  </si>
  <si>
    <t>Costs</t>
  </si>
  <si>
    <t>Enc</t>
  </si>
  <si>
    <t>Aiming roll</t>
  </si>
  <si>
    <t>Qik</t>
  </si>
  <si>
    <t>Total arts cost</t>
  </si>
  <si>
    <t>Points left</t>
  </si>
  <si>
    <t>Phi</t>
  </si>
  <si>
    <t>ALi</t>
  </si>
  <si>
    <t>Points to spend</t>
  </si>
  <si>
    <t>Inventive Genius</t>
  </si>
  <si>
    <t>Pui</t>
  </si>
  <si>
    <t>Afn</t>
  </si>
  <si>
    <r>
      <t xml:space="preserve">Ritual spells </t>
    </r>
    <r>
      <rPr>
        <sz val="10"/>
        <rFont val="Verdana"/>
        <family val="2"/>
      </rPr>
      <t>(Formulaic+Artes L.+Philosop.)</t>
    </r>
  </si>
  <si>
    <r>
      <t xml:space="preserve">Spontaneous </t>
    </r>
    <r>
      <rPr>
        <sz val="10"/>
        <rFont val="Verdana"/>
        <family val="2"/>
      </rPr>
      <t>(Sta+Technique+Form-Enc)</t>
    </r>
  </si>
  <si>
    <t>© Germanitas 2007</t>
  </si>
  <si>
    <t>http://germanitas.org</t>
  </si>
  <si>
    <t>Totalcalculator - Experience version</t>
  </si>
  <si>
    <t>Certamen</t>
  </si>
  <si>
    <t>Initiative:</t>
  </si>
  <si>
    <t>Qik+Fin+die</t>
  </si>
  <si>
    <t>Attack:</t>
  </si>
  <si>
    <t>Pre+T or F+die</t>
  </si>
  <si>
    <t>Defense</t>
  </si>
  <si>
    <t>Per+T or F+die</t>
  </si>
  <si>
    <t>Weakening:</t>
  </si>
  <si>
    <t>Int+Pen+AtkAdv</t>
  </si>
  <si>
    <t>Resistance:</t>
  </si>
  <si>
    <t>Sta+Parma</t>
  </si>
  <si>
    <t>Par</t>
  </si>
  <si>
    <t>Seasons to complete labwork</t>
  </si>
  <si>
    <t>Effect Level</t>
  </si>
  <si>
    <t>Enchanting talisman</t>
  </si>
  <si>
    <t>Lab Total Bonuses</t>
  </si>
  <si>
    <t>Talisman Bonuses</t>
  </si>
</sst>
</file>

<file path=xl/styles.xml><?xml version="1.0" encoding="utf-8"?>
<styleSheet xmlns="http://schemas.openxmlformats.org/spreadsheetml/2006/main">
  <fonts count="16">
    <font>
      <sz val="10"/>
      <name val="Arial"/>
    </font>
    <font>
      <sz val="10"/>
      <name val="Verdana"/>
      <family val="2"/>
    </font>
    <font>
      <b/>
      <sz val="10"/>
      <name val="Verdana"/>
      <family val="2"/>
    </font>
    <font>
      <b/>
      <sz val="8"/>
      <name val="Verdana"/>
      <family val="2"/>
    </font>
    <font>
      <sz val="8"/>
      <name val="Arial"/>
      <family val="2"/>
    </font>
    <font>
      <sz val="10"/>
      <color indexed="12"/>
      <name val="Verdana"/>
      <family val="2"/>
    </font>
    <font>
      <u/>
      <sz val="10"/>
      <color indexed="12"/>
      <name val="Arial"/>
      <family val="2"/>
    </font>
    <font>
      <u/>
      <sz val="10"/>
      <color indexed="12"/>
      <name val="Verdana"/>
      <family val="2"/>
    </font>
    <font>
      <sz val="10"/>
      <color indexed="44"/>
      <name val="Verdana"/>
      <family val="2"/>
    </font>
    <font>
      <sz val="10"/>
      <color indexed="9"/>
      <name val="Verdana"/>
      <family val="2"/>
    </font>
    <font>
      <sz val="1"/>
      <color indexed="44"/>
      <name val="Verdana"/>
      <family val="2"/>
    </font>
    <font>
      <i/>
      <sz val="10"/>
      <name val="Verdana"/>
      <family val="2"/>
    </font>
    <font>
      <sz val="9"/>
      <name val="Verdana"/>
      <family val="2"/>
    </font>
    <font>
      <sz val="5"/>
      <color rgb="FF86C5FE"/>
      <name val="Verdana"/>
      <family val="2"/>
    </font>
    <font>
      <sz val="10"/>
      <color rgb="FF0106E1"/>
      <name val="Verdana"/>
      <family val="2"/>
    </font>
    <font>
      <sz val="8"/>
      <color indexed="1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86C5FE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48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1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1" fillId="0" borderId="0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2" fillId="0" borderId="10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5" xfId="0" applyFont="1" applyBorder="1"/>
    <xf numFmtId="0" fontId="3" fillId="0" borderId="0" xfId="0" applyFont="1" applyBorder="1"/>
    <xf numFmtId="0" fontId="2" fillId="0" borderId="0" xfId="0" applyFont="1" applyBorder="1"/>
    <xf numFmtId="0" fontId="1" fillId="0" borderId="2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0" xfId="0" applyFill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0" xfId="0" applyBorder="1"/>
    <xf numFmtId="0" fontId="0" fillId="0" borderId="25" xfId="0" applyBorder="1"/>
    <xf numFmtId="0" fontId="0" fillId="0" borderId="20" xfId="0" applyBorder="1"/>
    <xf numFmtId="0" fontId="0" fillId="0" borderId="25" xfId="0" applyFill="1" applyBorder="1"/>
    <xf numFmtId="0" fontId="0" fillId="0" borderId="0" xfId="0" applyFill="1" applyBorder="1"/>
    <xf numFmtId="0" fontId="2" fillId="0" borderId="5" xfId="0" applyFont="1" applyBorder="1"/>
    <xf numFmtId="0" fontId="2" fillId="0" borderId="1" xfId="0" applyFont="1" applyBorder="1"/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7" fillId="0" borderId="0" xfId="1" applyFont="1" applyAlignment="1" applyProtection="1"/>
    <xf numFmtId="0" fontId="3" fillId="0" borderId="30" xfId="0" applyFont="1" applyBorder="1"/>
    <xf numFmtId="0" fontId="1" fillId="0" borderId="31" xfId="0" applyFont="1" applyBorder="1"/>
    <xf numFmtId="0" fontId="1" fillId="0" borderId="32" xfId="0" applyFont="1" applyBorder="1"/>
    <xf numFmtId="0" fontId="9" fillId="0" borderId="0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 applyProtection="1">
      <alignment horizontal="center"/>
      <protection locked="0" hidden="1"/>
    </xf>
    <xf numFmtId="0" fontId="2" fillId="0" borderId="12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3" xfId="0" applyFont="1" applyFill="1" applyBorder="1"/>
    <xf numFmtId="0" fontId="2" fillId="0" borderId="4" xfId="0" applyFont="1" applyFill="1" applyBorder="1"/>
    <xf numFmtId="0" fontId="2" fillId="0" borderId="33" xfId="0" applyFont="1" applyFill="1" applyBorder="1"/>
    <xf numFmtId="0" fontId="2" fillId="0" borderId="35" xfId="0" applyFont="1" applyBorder="1"/>
    <xf numFmtId="0" fontId="10" fillId="2" borderId="17" xfId="0" applyFont="1" applyFill="1" applyBorder="1" applyProtection="1">
      <protection locked="0" hidden="1"/>
    </xf>
    <xf numFmtId="0" fontId="1" fillId="0" borderId="0" xfId="0" applyFont="1" applyProtection="1"/>
    <xf numFmtId="0" fontId="5" fillId="0" borderId="0" xfId="0" applyFont="1" applyFill="1" applyBorder="1" applyAlignment="1" applyProtection="1"/>
    <xf numFmtId="0" fontId="1" fillId="0" borderId="0" xfId="0" applyFont="1" applyBorder="1" applyAlignment="1" applyProtection="1"/>
    <xf numFmtId="0" fontId="2" fillId="0" borderId="0" xfId="0" applyFont="1" applyProtection="1"/>
    <xf numFmtId="0" fontId="2" fillId="0" borderId="2" xfId="0" applyFont="1" applyBorder="1" applyProtection="1"/>
    <xf numFmtId="0" fontId="2" fillId="0" borderId="28" xfId="0" applyFont="1" applyBorder="1" applyProtection="1"/>
    <xf numFmtId="0" fontId="2" fillId="0" borderId="3" xfId="0" applyFont="1" applyBorder="1" applyProtection="1"/>
    <xf numFmtId="0" fontId="2" fillId="0" borderId="29" xfId="0" applyFont="1" applyBorder="1" applyProtection="1"/>
    <xf numFmtId="0" fontId="2" fillId="0" borderId="4" xfId="0" applyFont="1" applyBorder="1" applyProtection="1"/>
    <xf numFmtId="0" fontId="2" fillId="0" borderId="36" xfId="0" applyFont="1" applyBorder="1" applyProtection="1"/>
    <xf numFmtId="0" fontId="2" fillId="0" borderId="2" xfId="0" applyFont="1" applyFill="1" applyBorder="1" applyProtection="1"/>
    <xf numFmtId="0" fontId="1" fillId="0" borderId="26" xfId="0" applyFont="1" applyFill="1" applyBorder="1" applyAlignment="1" applyProtection="1">
      <alignment horizontal="center"/>
    </xf>
    <xf numFmtId="0" fontId="2" fillId="0" borderId="26" xfId="0" applyFont="1" applyFill="1" applyBorder="1" applyProtection="1"/>
    <xf numFmtId="0" fontId="1" fillId="0" borderId="15" xfId="0" applyFont="1" applyFill="1" applyBorder="1" applyAlignment="1" applyProtection="1">
      <alignment horizontal="center"/>
    </xf>
    <xf numFmtId="0" fontId="2" fillId="0" borderId="3" xfId="0" applyFont="1" applyFill="1" applyBorder="1" applyProtection="1"/>
    <xf numFmtId="0" fontId="1" fillId="0" borderId="24" xfId="0" applyFont="1" applyFill="1" applyBorder="1" applyAlignment="1" applyProtection="1">
      <alignment horizontal="center"/>
    </xf>
    <xf numFmtId="0" fontId="2" fillId="0" borderId="24" xfId="0" applyFont="1" applyFill="1" applyBorder="1" applyProtection="1"/>
    <xf numFmtId="0" fontId="1" fillId="0" borderId="16" xfId="0" applyFont="1" applyFill="1" applyBorder="1" applyAlignment="1" applyProtection="1">
      <alignment horizontal="center"/>
    </xf>
    <xf numFmtId="0" fontId="2" fillId="0" borderId="4" xfId="0" applyFont="1" applyFill="1" applyBorder="1" applyProtection="1"/>
    <xf numFmtId="0" fontId="1" fillId="0" borderId="27" xfId="0" applyFont="1" applyFill="1" applyBorder="1" applyAlignment="1" applyProtection="1">
      <alignment horizontal="center"/>
    </xf>
    <xf numFmtId="0" fontId="2" fillId="0" borderId="27" xfId="0" applyFont="1" applyFill="1" applyBorder="1" applyProtection="1"/>
    <xf numFmtId="0" fontId="1" fillId="0" borderId="17" xfId="0" applyFont="1" applyFill="1" applyBorder="1" applyAlignment="1" applyProtection="1">
      <alignment horizontal="center"/>
    </xf>
    <xf numFmtId="0" fontId="11" fillId="0" borderId="0" xfId="0" applyFont="1" applyFill="1" applyBorder="1"/>
    <xf numFmtId="0" fontId="2" fillId="0" borderId="5" xfId="0" applyFont="1" applyBorder="1" applyAlignment="1">
      <alignment horizontal="center"/>
    </xf>
    <xf numFmtId="0" fontId="2" fillId="0" borderId="12" xfId="0" applyFont="1" applyBorder="1"/>
    <xf numFmtId="0" fontId="1" fillId="0" borderId="0" xfId="0" applyFont="1" applyFill="1" applyBorder="1" applyProtection="1"/>
    <xf numFmtId="0" fontId="1" fillId="0" borderId="2" xfId="0" applyFont="1" applyFill="1" applyBorder="1"/>
    <xf numFmtId="0" fontId="1" fillId="0" borderId="5" xfId="0" applyFont="1" applyFill="1" applyBorder="1"/>
    <xf numFmtId="0" fontId="1" fillId="0" borderId="5" xfId="0" applyFont="1" applyFill="1" applyBorder="1" applyProtection="1"/>
    <xf numFmtId="0" fontId="1" fillId="0" borderId="1" xfId="0" applyFont="1" applyFill="1" applyBorder="1"/>
    <xf numFmtId="0" fontId="1" fillId="0" borderId="1" xfId="0" applyFont="1" applyFill="1" applyBorder="1" applyProtection="1"/>
    <xf numFmtId="0" fontId="1" fillId="0" borderId="0" xfId="0" applyFont="1" applyFill="1" applyBorder="1" applyProtection="1">
      <protection locked="0"/>
    </xf>
    <xf numFmtId="0" fontId="12" fillId="0" borderId="4" xfId="0" applyFont="1" applyFill="1" applyBorder="1" applyProtection="1"/>
    <xf numFmtId="0" fontId="1" fillId="0" borderId="0" xfId="0" applyFont="1" applyFill="1" applyBorder="1" applyAlignment="1" applyProtection="1">
      <alignment horizontal="center"/>
    </xf>
    <xf numFmtId="0" fontId="8" fillId="3" borderId="2" xfId="0" applyFont="1" applyFill="1" applyBorder="1" applyProtection="1">
      <protection locked="0" hidden="1"/>
    </xf>
    <xf numFmtId="0" fontId="8" fillId="3" borderId="12" xfId="0" applyFont="1" applyFill="1" applyBorder="1" applyProtection="1">
      <protection locked="0" hidden="1"/>
    </xf>
    <xf numFmtId="0" fontId="8" fillId="3" borderId="3" xfId="0" applyFont="1" applyFill="1" applyBorder="1" applyProtection="1">
      <protection locked="0" hidden="1"/>
    </xf>
    <xf numFmtId="0" fontId="8" fillId="3" borderId="13" xfId="0" applyFont="1" applyFill="1" applyBorder="1" applyProtection="1">
      <protection locked="0" hidden="1"/>
    </xf>
    <xf numFmtId="0" fontId="8" fillId="3" borderId="33" xfId="0" applyFont="1" applyFill="1" applyBorder="1" applyProtection="1">
      <protection locked="0" hidden="1"/>
    </xf>
    <xf numFmtId="0" fontId="8" fillId="3" borderId="34" xfId="0" applyFont="1" applyFill="1" applyBorder="1" applyProtection="1">
      <protection locked="0" hidden="1"/>
    </xf>
    <xf numFmtId="0" fontId="8" fillId="3" borderId="3" xfId="0" applyFont="1" applyFill="1" applyBorder="1" applyAlignment="1" applyProtection="1">
      <alignment horizontal="center"/>
      <protection locked="0" hidden="1"/>
    </xf>
    <xf numFmtId="0" fontId="8" fillId="3" borderId="13" xfId="0" applyFont="1" applyFill="1" applyBorder="1" applyAlignment="1" applyProtection="1">
      <alignment horizontal="center"/>
      <protection locked="0" hidden="1"/>
    </xf>
    <xf numFmtId="0" fontId="8" fillId="3" borderId="4" xfId="0" applyFont="1" applyFill="1" applyBorder="1" applyAlignment="1" applyProtection="1">
      <alignment horizontal="center"/>
      <protection locked="0" hidden="1"/>
    </xf>
    <xf numFmtId="0" fontId="8" fillId="3" borderId="14" xfId="0" applyFont="1" applyFill="1" applyBorder="1" applyAlignment="1" applyProtection="1">
      <alignment horizontal="center"/>
      <protection locked="0" hidden="1"/>
    </xf>
    <xf numFmtId="0" fontId="9" fillId="3" borderId="10" xfId="0" applyFont="1" applyFill="1" applyBorder="1"/>
    <xf numFmtId="0" fontId="8" fillId="3" borderId="11" xfId="0" applyFont="1" applyFill="1" applyBorder="1" applyProtection="1">
      <protection locked="0" hidden="1"/>
    </xf>
    <xf numFmtId="0" fontId="5" fillId="2" borderId="26" xfId="0" applyFont="1" applyFill="1" applyBorder="1" applyAlignment="1" applyProtection="1">
      <alignment horizontal="center"/>
      <protection locked="0"/>
    </xf>
    <xf numFmtId="0" fontId="14" fillId="3" borderId="15" xfId="0" applyFont="1" applyFill="1" applyBorder="1" applyAlignment="1" applyProtection="1">
      <alignment horizontal="center"/>
      <protection locked="0"/>
    </xf>
    <xf numFmtId="0" fontId="13" fillId="3" borderId="17" xfId="0" applyFont="1" applyFill="1" applyBorder="1" applyAlignment="1" applyProtection="1">
      <alignment horizontal="center"/>
      <protection locked="0"/>
    </xf>
    <xf numFmtId="0" fontId="15" fillId="2" borderId="16" xfId="0" applyFont="1" applyFill="1" applyBorder="1" applyAlignment="1" applyProtection="1">
      <alignment horizontal="center"/>
      <protection locked="0"/>
    </xf>
    <xf numFmtId="0" fontId="15" fillId="2" borderId="28" xfId="0" applyFont="1" applyFill="1" applyBorder="1" applyAlignment="1" applyProtection="1">
      <alignment horizontal="center"/>
      <protection locked="0"/>
    </xf>
    <xf numFmtId="0" fontId="15" fillId="2" borderId="29" xfId="0" applyFont="1" applyFill="1" applyBorder="1" applyAlignment="1" applyProtection="1">
      <alignment horizontal="center"/>
      <protection locked="0"/>
    </xf>
    <xf numFmtId="0" fontId="15" fillId="2" borderId="36" xfId="0" applyFont="1" applyFill="1" applyBorder="1" applyAlignment="1" applyProtection="1">
      <alignment horizontal="center"/>
      <protection locked="0"/>
    </xf>
    <xf numFmtId="0" fontId="15" fillId="2" borderId="15" xfId="0" applyFont="1" applyFill="1" applyBorder="1" applyAlignment="1" applyProtection="1">
      <alignment horizontal="center"/>
      <protection locked="0"/>
    </xf>
    <xf numFmtId="0" fontId="15" fillId="2" borderId="17" xfId="0" applyFon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0" fontId="1" fillId="0" borderId="2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106E1"/>
      <color rgb="FF86C5FE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germanitas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40"/>
  <sheetViews>
    <sheetView tabSelected="1" zoomScaleNormal="100" workbookViewId="0">
      <selection activeCell="Z28" sqref="Z28"/>
    </sheetView>
  </sheetViews>
  <sheetFormatPr defaultRowHeight="12.75"/>
  <cols>
    <col min="1" max="25" width="3.7109375" style="21" customWidth="1"/>
    <col min="26" max="28" width="4.42578125" style="21" customWidth="1"/>
    <col min="29" max="30" width="3.7109375" style="21" customWidth="1"/>
    <col min="31" max="37" width="3.7109375" style="82" customWidth="1"/>
    <col min="38" max="39" width="3.7109375" style="21" customWidth="1"/>
    <col min="40" max="16384" width="9.140625" style="21"/>
  </cols>
  <sheetData>
    <row r="1" spans="1:39" ht="13.5" thickBot="1">
      <c r="A1" s="34" t="s">
        <v>54</v>
      </c>
      <c r="M1" s="20" t="s">
        <v>20</v>
      </c>
    </row>
    <row r="2" spans="1:39" ht="13.5" thickBot="1">
      <c r="A2" s="20" t="s">
        <v>19</v>
      </c>
      <c r="M2" s="21" t="s">
        <v>27</v>
      </c>
      <c r="Y2" s="70"/>
      <c r="Z2" s="71" t="s">
        <v>49</v>
      </c>
      <c r="AA2" s="75" t="s">
        <v>48</v>
      </c>
      <c r="AC2" s="20" t="s">
        <v>67</v>
      </c>
    </row>
    <row r="3" spans="1:39" ht="13.5" thickBot="1">
      <c r="A3" s="10"/>
      <c r="B3" s="11" t="s">
        <v>0</v>
      </c>
      <c r="C3" s="12" t="s">
        <v>1</v>
      </c>
      <c r="D3" s="12" t="s">
        <v>2</v>
      </c>
      <c r="E3" s="12" t="s">
        <v>3</v>
      </c>
      <c r="F3" s="12" t="s">
        <v>4</v>
      </c>
      <c r="G3" s="12" t="s">
        <v>5</v>
      </c>
      <c r="H3" s="12" t="s">
        <v>6</v>
      </c>
      <c r="I3" s="12" t="s">
        <v>7</v>
      </c>
      <c r="J3" s="12" t="s">
        <v>8</v>
      </c>
      <c r="K3" s="13" t="s">
        <v>9</v>
      </c>
      <c r="M3" s="10"/>
      <c r="N3" s="11" t="s">
        <v>0</v>
      </c>
      <c r="O3" s="12" t="s">
        <v>1</v>
      </c>
      <c r="P3" s="12" t="s">
        <v>2</v>
      </c>
      <c r="Q3" s="12" t="s">
        <v>3</v>
      </c>
      <c r="R3" s="12" t="s">
        <v>4</v>
      </c>
      <c r="S3" s="12" t="s">
        <v>5</v>
      </c>
      <c r="T3" s="29" t="s">
        <v>6</v>
      </c>
      <c r="U3" s="12" t="s">
        <v>7</v>
      </c>
      <c r="V3" s="29" t="s">
        <v>8</v>
      </c>
      <c r="W3" s="13" t="s">
        <v>9</v>
      </c>
      <c r="Y3" s="76" t="s">
        <v>10</v>
      </c>
      <c r="Z3" s="116" t="b">
        <v>0</v>
      </c>
      <c r="AA3" s="117" t="b">
        <v>0</v>
      </c>
      <c r="AC3" s="10"/>
      <c r="AD3" s="3" t="s">
        <v>0</v>
      </c>
      <c r="AE3" s="56" t="s">
        <v>1</v>
      </c>
      <c r="AF3" s="56" t="s">
        <v>2</v>
      </c>
      <c r="AG3" s="56" t="s">
        <v>3</v>
      </c>
      <c r="AH3" s="56" t="s">
        <v>4</v>
      </c>
      <c r="AI3" s="56" t="s">
        <v>5</v>
      </c>
      <c r="AJ3" s="105" t="s">
        <v>6</v>
      </c>
      <c r="AK3" s="56" t="s">
        <v>7</v>
      </c>
      <c r="AL3" s="105" t="s">
        <v>8</v>
      </c>
      <c r="AM3" s="106" t="s">
        <v>9</v>
      </c>
    </row>
    <row r="4" spans="1:39">
      <c r="A4" s="7" t="s">
        <v>10</v>
      </c>
      <c r="B4" s="14">
        <f>Cr+An+Pui_An*3+Pui_Cr*3</f>
        <v>0</v>
      </c>
      <c r="C4" s="6">
        <f>Cr+Aq+Pui_Aq*3+Pui_Cr*3</f>
        <v>0</v>
      </c>
      <c r="D4" s="6">
        <f>Cr+Au+Pui_Au*3+Pui_Cr*3</f>
        <v>0</v>
      </c>
      <c r="E4" s="6">
        <f>Cr+Co+Pui_Co*3+Pui_Cr*3</f>
        <v>0</v>
      </c>
      <c r="F4" s="6">
        <f>Cr+He+Pui_He*3+Pui_Cr*3</f>
        <v>0</v>
      </c>
      <c r="G4" s="6">
        <f>Cr+Ig+Pui_Ig*3+Pui_Cr*3</f>
        <v>0</v>
      </c>
      <c r="H4" s="6">
        <f>Cr+Im+Pui_Im*3+Pui_Cr*3</f>
        <v>0</v>
      </c>
      <c r="I4" s="6">
        <f>Cr+Me+Pui_Me*3+Pui_Cr*3</f>
        <v>0</v>
      </c>
      <c r="J4" s="6">
        <f>Cr+Te+Pui_Te*3+Pui_Cr*3</f>
        <v>0</v>
      </c>
      <c r="K4" s="15">
        <f>Cr+Vi+Pui_Vi*3+Pui_Cr*3</f>
        <v>0</v>
      </c>
      <c r="M4" s="7" t="s">
        <v>10</v>
      </c>
      <c r="N4" s="14">
        <f>Cr+Int+MT+An+Aura+IGen*3+Pui_An*3+Pui_Cr*3+Pui_MT*2+EncTal*5+LTCr+LTAn</f>
        <v>0</v>
      </c>
      <c r="O4" s="6">
        <f>Cr+Int+MT+Aq+Aura+IGen*3+Pui_Aq*3+Pui_Cr*3+Pui_MT*2+EncTal*5+LTCr+LTAq</f>
        <v>0</v>
      </c>
      <c r="P4" s="6">
        <f>Cr+Int+MT+Au+Aura+IGen*3+Pui_Au*3+Pui_Cr*3+Pui_MT*2+EncTal*5+LTCr+LTAu</f>
        <v>0</v>
      </c>
      <c r="Q4" s="6">
        <f>Cr+Int+MT+Co+Aura+IGen*3+Pui_Co*3+Pui_Cr*3+Pui_MT*2+EncTal*5+LTCr+LTCo</f>
        <v>0</v>
      </c>
      <c r="R4" s="6">
        <f>Cr+Int+MT+He+Aura+IGen*3+Pui_He*3+Pui_Cr*3+Pui_MT*2+EncTal*5+LTCr+LTHe</f>
        <v>0</v>
      </c>
      <c r="S4" s="6">
        <f>Cr+Int+MT+Ig+Aura+IGen*3+Pui_Ig*3+Pui_Cr*3+Pui_MT*2+EncTal*5+LTCr+LTIg</f>
        <v>0</v>
      </c>
      <c r="T4" s="6">
        <f>Cr+Int+MT+Im+Aura+IGen*3+Pui_Im*3+Pui_Cr*3+Pui_MT*2+EncTal*5+LTCr+LTIm</f>
        <v>0</v>
      </c>
      <c r="U4" s="6">
        <f>Cr+Int+MT+Me+Aura+IGen*3+Pui_Me*3+Pui_Cr*3+Pui_MT*2+EncTal*5+LTCr+LTMe</f>
        <v>0</v>
      </c>
      <c r="V4" s="6">
        <f>Cr+Int+MT+Te+Aura+IGen*3+Pui_Te*3+Pui_Cr*3+Pui_MT*2+EncTal*5+LTCr+LTTe</f>
        <v>0</v>
      </c>
      <c r="W4" s="15">
        <f>Cr+Int+MT+Vi+Aura+IGen*3+Pui_Vi*3+Pui_Cr*3+Pui_MT*2+EncTal*5+LTCr+LTVi</f>
        <v>0</v>
      </c>
      <c r="Y4" s="77" t="s">
        <v>11</v>
      </c>
      <c r="Z4" s="118" t="b">
        <v>0</v>
      </c>
      <c r="AA4" s="119" t="b">
        <v>0</v>
      </c>
      <c r="AC4" s="3" t="s">
        <v>10</v>
      </c>
      <c r="AD4" s="14" t="str">
        <f>IF(N4&lt;=EffLvl,"",(IF(N4&gt;2*EffLvl,1,ROUNDUP(EffLvl/(N4-EffLvl),0))))</f>
        <v/>
      </c>
      <c r="AE4" s="6" t="str">
        <f>IF(O4&lt;=EffLvl,"",(IF(O4&gt;2*EffLvl,1,ROUNDUP(EffLvl/(O4-EffLvl),0))))</f>
        <v/>
      </c>
      <c r="AF4" s="6" t="str">
        <f>IF(P4&lt;=EffLvl,"",(IF(P4&gt;2*EffLvl,1,ROUNDUP(EffLvl/(P4-EffLvl),0))))</f>
        <v/>
      </c>
      <c r="AG4" s="6" t="str">
        <f>IF(Q4&lt;=EffLvl,"",(IF(Q4&gt;2*EffLvl,1,ROUNDUP(EffLvl/(Q4-EffLvl),0))))</f>
        <v/>
      </c>
      <c r="AH4" s="6" t="str">
        <f>IF(R4&lt;=EffLvl,"",(IF(R4&gt;2*EffLvl,1,ROUNDUP(EffLvl/(R4-EffLvl),0))))</f>
        <v/>
      </c>
      <c r="AI4" s="6" t="str">
        <f>IF(S4&lt;=EffLvl,"",(IF(S4&gt;2*EffLvl,1,ROUNDUP(EffLvl/(S4-EffLvl),0))))</f>
        <v/>
      </c>
      <c r="AJ4" s="6" t="str">
        <f>IF(T4&lt;=EffLvl,"",(IF(T4&gt;2*EffLvl,1,ROUNDUP(EffLvl/(T4-EffLvl),0))))</f>
        <v/>
      </c>
      <c r="AK4" s="6" t="str">
        <f>IF(U4&lt;=EffLvl,"",(IF(U4&gt;2*EffLvl,1,ROUNDUP(EffLvl/(U4-EffLvl),0))))</f>
        <v/>
      </c>
      <c r="AL4" s="6" t="str">
        <f>IF(V4&lt;=EffLvl,"",(IF(V4&gt;2*EffLvl,1,ROUNDUP(EffLvl/(V4-EffLvl),0))))</f>
        <v/>
      </c>
      <c r="AM4" s="15" t="str">
        <f>IF(W4&lt;=EffLvl,"",(IF(W4&gt;2*EffLvl,1,ROUNDUP(EffLvl/(W4-EffLvl),0))))</f>
        <v/>
      </c>
    </row>
    <row r="5" spans="1:39">
      <c r="A5" s="8" t="s">
        <v>11</v>
      </c>
      <c r="B5" s="16">
        <f>In+An+Pui_An*3+Pui_In*3</f>
        <v>0</v>
      </c>
      <c r="C5" s="1">
        <f>In+Aq+Pui_Aq*3+Pui_In*3</f>
        <v>0</v>
      </c>
      <c r="D5" s="1">
        <f>In+Au+Pui_Au*3+Pui_In*3</f>
        <v>0</v>
      </c>
      <c r="E5" s="1">
        <f>In+Co+Pui_Co*3+Pui_In*3</f>
        <v>0</v>
      </c>
      <c r="F5" s="1">
        <f>In+He+Pui_He*3+Pui_In*3</f>
        <v>0</v>
      </c>
      <c r="G5" s="1">
        <f>In+Ig+Pui_Ig*3+Pui_In*3</f>
        <v>0</v>
      </c>
      <c r="H5" s="1">
        <f>In+Im+Pui_Im*3+Pui_In*3</f>
        <v>0</v>
      </c>
      <c r="I5" s="1">
        <f>In+Me+Pui_Me*3+Pui_In*3</f>
        <v>0</v>
      </c>
      <c r="J5" s="1">
        <f>In+Te+Pui_Te*3+Pui_In*3</f>
        <v>0</v>
      </c>
      <c r="K5" s="17">
        <f>In+Vi+Pui_Vi*3+Pui_In*3</f>
        <v>0</v>
      </c>
      <c r="M5" s="8" t="s">
        <v>11</v>
      </c>
      <c r="N5" s="16">
        <f>In+Int+MT+An+Aura+IGen*3+Pui_An*3+Pui_In*3+Pui_MT*2+EncTal*5+LTIn+LTAn</f>
        <v>0</v>
      </c>
      <c r="O5" s="1">
        <f>In+Int+MT+Aq+Aura+IGen*3+Pui_Aq*3+Pui_In*3+Pui_MT*2+EncTal*5+LTIn+LTAq</f>
        <v>0</v>
      </c>
      <c r="P5" s="1">
        <f>In+Int+MT+Au+Aura+IGen*3+Pui_Au*3+Pui_In*3+Pui_MT*2+EncTal*5+LTIn+LTAu</f>
        <v>0</v>
      </c>
      <c r="Q5" s="1">
        <f>In+Int+MT+Co+Aura+IGen*3+Pui_Co*3+Pui_In*3+Pui_MT*2+EncTal*5+LTIn+LTCo</f>
        <v>0</v>
      </c>
      <c r="R5" s="1">
        <f>In+Int+MT+He+Aura+IGen*3+Pui_He*3+Pui_In*3+Pui_MT*2+EncTal*5+LTIn+LTHe</f>
        <v>0</v>
      </c>
      <c r="S5" s="1">
        <f>In+Int+MT+Ig+Aura+IGen*3+Pui_Ig*3+Pui_In*3+Pui_MT*2+EncTal*5+LTIn+LTIg</f>
        <v>0</v>
      </c>
      <c r="T5" s="1">
        <f>In+Int+MT+Im+Aura+IGen*3+Pui_Im*3+Pui_In*3+Pui_MT*2+EncTal*5+LTIn+LTIm</f>
        <v>0</v>
      </c>
      <c r="U5" s="1">
        <f>In+Int+MT+Me+Aura+IGen*3+Pui_Me*3+Pui_In*3+Pui_MT*2+EncTal*5+LTIn+LTMe</f>
        <v>0</v>
      </c>
      <c r="V5" s="1">
        <f>In+Int+MT+Te+Aura+IGen*3+Pui_Te*3+Pui_In*3+Pui_MT*2+EncTal*5+LTIn+LTTe</f>
        <v>0</v>
      </c>
      <c r="W5" s="17">
        <f>In+Int+MT+Vi+Aura+IGen*3+Pui_Vi*3+Pui_In*3+Pui_MT*2+EncTal*5+LTIn+LTVi</f>
        <v>0</v>
      </c>
      <c r="Y5" s="77" t="s">
        <v>12</v>
      </c>
      <c r="Z5" s="118" t="b">
        <v>0</v>
      </c>
      <c r="AA5" s="119" t="b">
        <v>0</v>
      </c>
      <c r="AC5" s="4" t="s">
        <v>11</v>
      </c>
      <c r="AD5" s="16" t="str">
        <f>IF(N5&lt;=EffLvl,"",(IF(N5&gt;2*EffLvl,1,ROUNDUP(EffLvl/(N5-EffLvl),0))))</f>
        <v/>
      </c>
      <c r="AE5" s="1" t="str">
        <f>IF(O5&lt;=EffLvl,"",(IF(O5&gt;2*EffLvl,1,ROUNDUP(EffLvl/(O5-EffLvl),0))))</f>
        <v/>
      </c>
      <c r="AF5" s="1" t="str">
        <f>IF(P5&lt;=EffLvl,"",(IF(P5&gt;2*EffLvl,1,ROUNDUP(EffLvl/(P5-EffLvl),0))))</f>
        <v/>
      </c>
      <c r="AG5" s="1" t="str">
        <f>IF(Q5&lt;=EffLvl,"",(IF(Q5&gt;2*EffLvl,1,ROUNDUP(EffLvl/(Q5-EffLvl),0))))</f>
        <v/>
      </c>
      <c r="AH5" s="1" t="str">
        <f>IF(R5&lt;=EffLvl,"",(IF(R5&gt;2*EffLvl,1,ROUNDUP(EffLvl/(R5-EffLvl),0))))</f>
        <v/>
      </c>
      <c r="AI5" s="1" t="str">
        <f>IF(S5&lt;=EffLvl,"",(IF(S5&gt;2*EffLvl,1,ROUNDUP(EffLvl/(S5-EffLvl),0))))</f>
        <v/>
      </c>
      <c r="AJ5" s="1" t="str">
        <f>IF(T5&lt;=EffLvl,"",(IF(T5&gt;2*EffLvl,1,ROUNDUP(EffLvl/(T5-EffLvl),0))))</f>
        <v/>
      </c>
      <c r="AK5" s="1" t="str">
        <f>IF(U5&lt;=EffLvl,"",(IF(U5&gt;2*EffLvl,1,ROUNDUP(EffLvl/(U5-EffLvl),0))))</f>
        <v/>
      </c>
      <c r="AL5" s="1" t="str">
        <f>IF(V5&lt;=EffLvl,"",(IF(V5&gt;2*EffLvl,1,ROUNDUP(EffLvl/(V5-EffLvl),0))))</f>
        <v/>
      </c>
      <c r="AM5" s="137" t="str">
        <f>IF(W5&lt;=EffLvl,"",(IF(W5&gt;2*EffLvl,1,ROUNDUP(EffLvl/(W5-EffLvl),0))))</f>
        <v/>
      </c>
    </row>
    <row r="6" spans="1:39">
      <c r="A6" s="8" t="s">
        <v>12</v>
      </c>
      <c r="B6" s="16">
        <f>Mu+An+Pui_An*3+Pui_Mu*3</f>
        <v>0</v>
      </c>
      <c r="C6" s="1">
        <f>Mu+Aq+Pui_Aq*3+Pui_Mu*3</f>
        <v>0</v>
      </c>
      <c r="D6" s="1">
        <f>Mu+Au+Pui_Au*3+Pui_Mu*3</f>
        <v>0</v>
      </c>
      <c r="E6" s="1">
        <f>Mu+Co+Pui_Co*3+Pui_Mu*3</f>
        <v>0</v>
      </c>
      <c r="F6" s="1">
        <f>Mu+He+Pui_He*3+Pui_Mu*3</f>
        <v>0</v>
      </c>
      <c r="G6" s="1">
        <f>Mu+Ig+Pui_Ig*3+Pui_Mu*3</f>
        <v>0</v>
      </c>
      <c r="H6" s="1">
        <f>Mu+Im+Pui_Im*3+Pui_Mu*3</f>
        <v>0</v>
      </c>
      <c r="I6" s="1">
        <f>Mu+Me+Pui_Me*3+Pui_Mu*3</f>
        <v>0</v>
      </c>
      <c r="J6" s="1">
        <f>Mu+Te+Pui_Te*3+Pui_Mu*3</f>
        <v>0</v>
      </c>
      <c r="K6" s="17">
        <f>Mu+Vi+Pui_Vi*3+Pui_Mu*3</f>
        <v>0</v>
      </c>
      <c r="M6" s="8" t="s">
        <v>12</v>
      </c>
      <c r="N6" s="16">
        <f>Mu+Int+MT+An+Aura+IGen*3+Pui_An*3+Pui_Mu*3+Pui_MT*2+EncTal*5+LTMu+LTAn</f>
        <v>0</v>
      </c>
      <c r="O6" s="1">
        <f>Mu+Int+MT+Aq+Aura+IGen*3+Pui_Aq*3+Pui_Mu*3+Pui_MT*2+EncTal*5+LTMu+LTAq</f>
        <v>0</v>
      </c>
      <c r="P6" s="1">
        <f>Mu+Int+MT+Au+Aura+IGen*3+Pui_Au*3+Pui_Mu*3+Pui_MT*2+EncTal*5+LTMu+LTAu</f>
        <v>0</v>
      </c>
      <c r="Q6" s="1">
        <f>Mu+Int+MT+Co+Aura+IGen*3+Pui_Co*3+Pui_Mu*3+Pui_MT*2+EncTal*5+LTMu+LTCo</f>
        <v>0</v>
      </c>
      <c r="R6" s="1">
        <f>Mu+Int+MT+He+Aura+IGen*3+Pui_He*3+Pui_Mu*3+Pui_MT*2+EncTal*5+LTMu+LTHe</f>
        <v>0</v>
      </c>
      <c r="S6" s="1">
        <f>Mu+Int+MT+Ig+Aura+IGen*3+Pui_Ig*3+Pui_Mu*3+Pui_MT*2+EncTal*5+LTMu+LTIg</f>
        <v>0</v>
      </c>
      <c r="T6" s="1">
        <f>Mu+Int+MT+Im+Aura+IGen*3+Pui_Im*3+Pui_Mu*3+Pui_MT*2+EncTal*5+LTMu+LTIm</f>
        <v>0</v>
      </c>
      <c r="U6" s="1">
        <f>Mu+Int+MT+Me+Aura+IGen*3+Pui_Me*3+Pui_Mu*3+Pui_MT*2+EncTal*5+LTMu+LTMe</f>
        <v>0</v>
      </c>
      <c r="V6" s="1">
        <f>Mu+Int+MT+Te+Aura+IGen*3+Pui_Te*3+Pui_Mu*3+Pui_MT*2+EncTal*5+LTMu+LTTe</f>
        <v>0</v>
      </c>
      <c r="W6" s="17">
        <f>Mu+Int+MT+Vi+Aura+IGen*3+Pui_Vi*3+Pui_Mu*3+Pui_MT*2+EncTal*5+LTMu+LTVi</f>
        <v>0</v>
      </c>
      <c r="Y6" s="77" t="s">
        <v>13</v>
      </c>
      <c r="Z6" s="118" t="b">
        <v>0</v>
      </c>
      <c r="AA6" s="119" t="b">
        <v>0</v>
      </c>
      <c r="AC6" s="4" t="s">
        <v>12</v>
      </c>
      <c r="AD6" s="16" t="str">
        <f>IF(N6&lt;=EffLvl,"",(IF(N6&gt;2*EffLvl,1,ROUNDUP(EffLvl/(N6-EffLvl),0))))</f>
        <v/>
      </c>
      <c r="AE6" s="1" t="str">
        <f>IF(O6&lt;=EffLvl,"",(IF(O6&gt;2*EffLvl,1,ROUNDUP(EffLvl/(O6-EffLvl),0))))</f>
        <v/>
      </c>
      <c r="AF6" s="1" t="str">
        <f>IF(P6&lt;=EffLvl,"",(IF(P6&gt;2*EffLvl,1,ROUNDUP(EffLvl/(P6-EffLvl),0))))</f>
        <v/>
      </c>
      <c r="AG6" s="1" t="str">
        <f>IF(Q6&lt;=EffLvl,"",(IF(Q6&gt;2*EffLvl,1,ROUNDUP(EffLvl/(Q6-EffLvl),0))))</f>
        <v/>
      </c>
      <c r="AH6" s="1" t="str">
        <f>IF(R6&lt;=EffLvl,"",(IF(R6&gt;2*EffLvl,1,ROUNDUP(EffLvl/(R6-EffLvl),0))))</f>
        <v/>
      </c>
      <c r="AI6" s="1" t="str">
        <f>IF(S6&lt;=EffLvl,"",(IF(S6&gt;2*EffLvl,1,ROUNDUP(EffLvl/(S6-EffLvl),0))))</f>
        <v/>
      </c>
      <c r="AJ6" s="1" t="str">
        <f>IF(T6&lt;=EffLvl,"",(IF(T6&gt;2*EffLvl,1,ROUNDUP(EffLvl/(T6-EffLvl),0))))</f>
        <v/>
      </c>
      <c r="AK6" s="1" t="str">
        <f>IF(U6&lt;=EffLvl,"",(IF(U6&gt;2*EffLvl,1,ROUNDUP(EffLvl/(U6-EffLvl),0))))</f>
        <v/>
      </c>
      <c r="AL6" s="1" t="str">
        <f>IF(V6&lt;=EffLvl,"",(IF(V6&gt;2*EffLvl,1,ROUNDUP(EffLvl/(V6-EffLvl),0))))</f>
        <v/>
      </c>
      <c r="AM6" s="137" t="str">
        <f>IF(W6&lt;=EffLvl,"",(IF(W6&gt;2*EffLvl,1,ROUNDUP(EffLvl/(W6-EffLvl),0))))</f>
        <v/>
      </c>
    </row>
    <row r="7" spans="1:39">
      <c r="A7" s="8" t="s">
        <v>13</v>
      </c>
      <c r="B7" s="16">
        <f>Pe+An+Pui_An*3+Pui_Pe*3</f>
        <v>0</v>
      </c>
      <c r="C7" s="1">
        <f>Pe+Aq+Pui_Aq*3+Pui_Pe*3</f>
        <v>0</v>
      </c>
      <c r="D7" s="1">
        <f>Pe+Au+Pui_Au*3+Pui_Pe*3</f>
        <v>0</v>
      </c>
      <c r="E7" s="1">
        <f>Pe+Co+Pui_Co*3+Pui_Pe*3</f>
        <v>0</v>
      </c>
      <c r="F7" s="1">
        <f>Pe+He+Pui_He*3+Pui_Pe*3</f>
        <v>0</v>
      </c>
      <c r="G7" s="1">
        <f>Pe+Ig+Pui_Ig*3+Pui_Pe*3</f>
        <v>0</v>
      </c>
      <c r="H7" s="1">
        <f>Pe+Im+Pui_Im*3+Pui_Pe*3</f>
        <v>0</v>
      </c>
      <c r="I7" s="1">
        <f>Pe+Me+Pui_Me*3+Pui_Pe*3</f>
        <v>0</v>
      </c>
      <c r="J7" s="1">
        <f>Pe+Te+Pui_Te*3+Pui_Pe*3</f>
        <v>0</v>
      </c>
      <c r="K7" s="17">
        <f>Pe+Vi+Pui_Vi*3+Pui_Pe*3</f>
        <v>0</v>
      </c>
      <c r="M7" s="8" t="s">
        <v>13</v>
      </c>
      <c r="N7" s="16">
        <f>Pe+Int+MT+An+Aura+IGen*3+Pui_An*3+Pui_Pe*3+Pui_MT*2+EncTal*5+LTPe+LTAn</f>
        <v>0</v>
      </c>
      <c r="O7" s="1">
        <f>Pe+Int+MT+Aq+Aura+IGen*3+Pui_Aq*3+Pui_Pe*3+Pui_MT*2+EncTal*5+LTPe+LTAq</f>
        <v>0</v>
      </c>
      <c r="P7" s="1">
        <f>Pe+Int+MT+Au+Aura+IGen*3+Pui_Au*3+Pui_Pe*3+Pui_MT*2+EncTal*5+LTPe+LTAu</f>
        <v>0</v>
      </c>
      <c r="Q7" s="1">
        <f>Pe+Int+MT+Co+Aura+IGen*3+Pui_Co*3+Pui_Pe*3+Pui_MT*2+EncTal*5+LTPe+LTCo</f>
        <v>0</v>
      </c>
      <c r="R7" s="1">
        <f>Pe+Int+MT+He+Aura+IGen*3+Pui_He*3+Pui_Pe*3+Pui_MT*2+EncTal*5+LTPe+LTHe</f>
        <v>0</v>
      </c>
      <c r="S7" s="1">
        <f>Pe+Int+MT+Ig+Aura+IGen*3+Pui_Ig*3+Pui_Pe*3+Pui_MT*2+EncTal*5+LTPe+LTIg</f>
        <v>0</v>
      </c>
      <c r="T7" s="1">
        <f>Pe+Int+MT+Im+Aura+IGen*3+Pui_Im*3+Pui_Pe*3+Pui_MT*2+EncTal*5+LTPe+LTIm</f>
        <v>0</v>
      </c>
      <c r="U7" s="1">
        <f>Pe+Int+MT+Me+Aura+IGen*3+Pui_Me*3+Pui_Pe*3+Pui_MT*2+EncTal*5+LTPe+LTMe</f>
        <v>0</v>
      </c>
      <c r="V7" s="1">
        <f>Pe+Int+MT+Te+Aura+IGen*3+Pui_Te*3+Pui_Pe*3+Pui_MT*2+EncTal*5+LTPe+LTTe</f>
        <v>0</v>
      </c>
      <c r="W7" s="17">
        <f>Pe+Int+MT+Vi+Aura+IGen*3+Pui_Vi*3+Pui_Pe*3+Pui_MT*2+EncTal*5+LTPe+LTVi</f>
        <v>0</v>
      </c>
      <c r="Y7" s="79" t="s">
        <v>14</v>
      </c>
      <c r="Z7" s="120" t="b">
        <v>0</v>
      </c>
      <c r="AA7" s="121" t="b">
        <v>0</v>
      </c>
      <c r="AC7" s="4" t="s">
        <v>13</v>
      </c>
      <c r="AD7" s="16" t="str">
        <f>IF(N7&lt;=EffLvl,"",(IF(N7&gt;2*EffLvl,1,ROUNDUP(EffLvl/(N7-EffLvl),0))))</f>
        <v/>
      </c>
      <c r="AE7" s="1" t="str">
        <f>IF(O7&lt;=EffLvl,"",(IF(O7&gt;2*EffLvl,1,ROUNDUP(EffLvl/(O7-EffLvl),0))))</f>
        <v/>
      </c>
      <c r="AF7" s="1" t="str">
        <f>IF(P7&lt;=EffLvl,"",(IF(P7&gt;2*EffLvl,1,ROUNDUP(EffLvl/(P7-EffLvl),0))))</f>
        <v/>
      </c>
      <c r="AG7" s="1" t="str">
        <f>IF(Q7&lt;=EffLvl,"",(IF(Q7&gt;2*EffLvl,1,ROUNDUP(EffLvl/(Q7-EffLvl),0))))</f>
        <v/>
      </c>
      <c r="AH7" s="1" t="str">
        <f>IF(R7&lt;=EffLvl,"",(IF(R7&gt;2*EffLvl,1,ROUNDUP(EffLvl/(R7-EffLvl),0))))</f>
        <v/>
      </c>
      <c r="AI7" s="1" t="str">
        <f>IF(S7&lt;=EffLvl,"",(IF(S7&gt;2*EffLvl,1,ROUNDUP(EffLvl/(S7-EffLvl),0))))</f>
        <v/>
      </c>
      <c r="AJ7" s="1" t="str">
        <f>IF(T7&lt;=EffLvl,"",(IF(T7&gt;2*EffLvl,1,ROUNDUP(EffLvl/(T7-EffLvl),0))))</f>
        <v/>
      </c>
      <c r="AK7" s="1" t="str">
        <f>IF(U7&lt;=EffLvl,"",(IF(U7&gt;2*EffLvl,1,ROUNDUP(EffLvl/(U7-EffLvl),0))))</f>
        <v/>
      </c>
      <c r="AL7" s="1" t="str">
        <f>IF(V7&lt;=EffLvl,"",(IF(V7&gt;2*EffLvl,1,ROUNDUP(EffLvl/(V7-EffLvl),0))))</f>
        <v/>
      </c>
      <c r="AM7" s="137" t="str">
        <f>IF(W7&lt;=EffLvl,"",(IF(W7&gt;2*EffLvl,1,ROUNDUP(EffLvl/(W7-EffLvl),0))))</f>
        <v/>
      </c>
    </row>
    <row r="8" spans="1:39" ht="13.5" thickBot="1">
      <c r="A8" s="9" t="s">
        <v>14</v>
      </c>
      <c r="B8" s="18">
        <f>Re+An+Pui_An*3+Pui_Re*3</f>
        <v>0</v>
      </c>
      <c r="C8" s="2">
        <f>Re+Aq+Pui_Aq*3+Pui_Re*3</f>
        <v>0</v>
      </c>
      <c r="D8" s="2">
        <f>Re+Au+Pui_Au*3+Pui_Re*3</f>
        <v>0</v>
      </c>
      <c r="E8" s="2">
        <f>Re+Co+Pui_Co*3+Pui_Re*3</f>
        <v>0</v>
      </c>
      <c r="F8" s="2">
        <f>Re+He+Pui_He*3+Pui_Re*3</f>
        <v>0</v>
      </c>
      <c r="G8" s="2">
        <f>Re+Ig+Pui_Ig*3+Pui_Re*3</f>
        <v>0</v>
      </c>
      <c r="H8" s="2">
        <f>Re+Im+Pui_Im*3+Pui_Re*3</f>
        <v>0</v>
      </c>
      <c r="I8" s="2">
        <f>Re+Me+Pui_Me*3+Pui_Re*3</f>
        <v>0</v>
      </c>
      <c r="J8" s="2">
        <f>Re+Te+Pui_Te*3+Pui_Re*3</f>
        <v>0</v>
      </c>
      <c r="K8" s="19">
        <f>Re+Vi+Pui_Vi*3+Pui_Re*3</f>
        <v>0</v>
      </c>
      <c r="M8" s="9" t="s">
        <v>14</v>
      </c>
      <c r="N8" s="18">
        <f>Re+Int+MT+An+Aura+IGen*3+Pui_An*3+Pui_Re*3+Pui_MT*2+EncTal*5+LTRe+LTAn</f>
        <v>0</v>
      </c>
      <c r="O8" s="2">
        <f>Re+Int+MT+Aq+Aura+IGen*3+Pui_Aq*3+Pui_Re*3+Pui_MT*2+EncTal*5+LTRe+LTAq</f>
        <v>0</v>
      </c>
      <c r="P8" s="2">
        <f>Re+Int+MT+Au+Aura+IGen*3+Pui_Au*3+Pui_Re*3+Pui_MT*2+EncTal*5+LTRe+LTAu</f>
        <v>0</v>
      </c>
      <c r="Q8" s="2">
        <f>Re+Int+MT+Co+Aura+IGen*3+Pui_Co*3+Pui_Re*3+Pui_MT*2+EncTal*5+LTRe+LTCo</f>
        <v>0</v>
      </c>
      <c r="R8" s="2">
        <f>Re+Int+MT+He+Aura+IGen*3+Pui_He*3+Pui_Re*3+Pui_MT*2+EncTal*5+LTRe+LTHe</f>
        <v>0</v>
      </c>
      <c r="S8" s="2">
        <f>Re+Int+MT+Ig+Aura+IGen*3+Pui_Ig*3+Pui_Re*3+Pui_MT*2+EncTal*5+LTRe+LTIg</f>
        <v>0</v>
      </c>
      <c r="T8" s="2">
        <f>Re+Int+MT+Im+Aura+IGen*3+Pui_Im*3+Pui_Re*3+Pui_MT*2+EncTal*5+LTRe+LTIm</f>
        <v>0</v>
      </c>
      <c r="U8" s="2">
        <f>Re+Int+MT+Me+Aura+IGen*3+Pui_Me*3+Pui_Re*3+Pui_MT*2+EncTal*5+LTRe+LTMe</f>
        <v>0</v>
      </c>
      <c r="V8" s="2">
        <f>Re+Int+MT+Te+Aura+IGen*3+Pui_Te*3+Pui_Re*3+Pui_MT*2+EncTal*5+LTRe+LTTe</f>
        <v>0</v>
      </c>
      <c r="W8" s="19">
        <f>Re+Int+MT+Vi+Aura+IGen*3+Pui_Vi*3+Pui_Re*3+Pui_MT*2+EncTal*5+LTRe+LTVi</f>
        <v>0</v>
      </c>
      <c r="Y8" s="77" t="s">
        <v>0</v>
      </c>
      <c r="Z8" s="122" t="b">
        <v>0</v>
      </c>
      <c r="AA8" s="123" t="b">
        <v>0</v>
      </c>
      <c r="AC8" s="5" t="s">
        <v>14</v>
      </c>
      <c r="AD8" s="18" t="str">
        <f>IF(N8&lt;=EffLvl,"",(IF(N8&gt;2*EffLvl,1,ROUNDUP(EffLvl/(N8-EffLvl),0))))</f>
        <v/>
      </c>
      <c r="AE8" s="2" t="str">
        <f>IF(O8&lt;=EffLvl,"",(IF(O8&gt;2*EffLvl,1,ROUNDUP(EffLvl/(O8-EffLvl),0))))</f>
        <v/>
      </c>
      <c r="AF8" s="2" t="str">
        <f>IF(P8&lt;=EffLvl,"",(IF(P8&gt;2*EffLvl,1,ROUNDUP(EffLvl/(P8-EffLvl),0))))</f>
        <v/>
      </c>
      <c r="AG8" s="2" t="str">
        <f>IF(Q8&lt;=EffLvl,"",(IF(Q8&gt;2*EffLvl,1,ROUNDUP(EffLvl/(Q8-EffLvl),0))))</f>
        <v/>
      </c>
      <c r="AH8" s="2" t="str">
        <f>IF(R8&lt;=EffLvl,"",(IF(R8&gt;2*EffLvl,1,ROUNDUP(EffLvl/(R8-EffLvl),0))))</f>
        <v/>
      </c>
      <c r="AI8" s="2" t="str">
        <f>IF(S8&lt;=EffLvl,"",(IF(S8&gt;2*EffLvl,1,ROUNDUP(EffLvl/(S8-EffLvl),0))))</f>
        <v/>
      </c>
      <c r="AJ8" s="2" t="str">
        <f>IF(T8&lt;=EffLvl,"",(IF(T8&gt;2*EffLvl,1,ROUNDUP(EffLvl/(T8-EffLvl),0))))</f>
        <v/>
      </c>
      <c r="AK8" s="2" t="str">
        <f>IF(U8&lt;=EffLvl,"",(IF(U8&gt;2*EffLvl,1,ROUNDUP(EffLvl/(U8-EffLvl),0))))</f>
        <v/>
      </c>
      <c r="AL8" s="2" t="str">
        <f>IF(V8&lt;=EffLvl,"",(IF(V8&gt;2*EffLvl,1,ROUNDUP(EffLvl/(V8-EffLvl),0))))</f>
        <v/>
      </c>
      <c r="AM8" s="138" t="str">
        <f>IF(W8&lt;=EffLvl,"",(IF(W8&gt;2*EffLvl,1,ROUNDUP(EffLvl/(W8-EffLvl),0))))</f>
        <v/>
      </c>
    </row>
    <row r="9" spans="1:39">
      <c r="Y9" s="77" t="s">
        <v>1</v>
      </c>
      <c r="Z9" s="122" t="b">
        <v>0</v>
      </c>
      <c r="AA9" s="123" t="b">
        <v>0</v>
      </c>
    </row>
    <row r="10" spans="1:39" ht="13.5" thickBot="1">
      <c r="A10" s="20" t="s">
        <v>51</v>
      </c>
      <c r="M10" s="20" t="s">
        <v>29</v>
      </c>
      <c r="Y10" s="77" t="s">
        <v>2</v>
      </c>
      <c r="Z10" s="122" t="b">
        <v>0</v>
      </c>
      <c r="AA10" s="123" t="b">
        <v>0</v>
      </c>
      <c r="AC10" s="73"/>
      <c r="AD10" s="73"/>
      <c r="AE10" s="107"/>
    </row>
    <row r="11" spans="1:39" ht="13.5" thickBot="1">
      <c r="A11" s="10"/>
      <c r="B11" s="11" t="s">
        <v>0</v>
      </c>
      <c r="C11" s="12" t="s">
        <v>1</v>
      </c>
      <c r="D11" s="12" t="s">
        <v>2</v>
      </c>
      <c r="E11" s="12" t="s">
        <v>3</v>
      </c>
      <c r="F11" s="12" t="s">
        <v>4</v>
      </c>
      <c r="G11" s="12" t="s">
        <v>5</v>
      </c>
      <c r="H11" s="12" t="s">
        <v>6</v>
      </c>
      <c r="I11" s="12" t="s">
        <v>7</v>
      </c>
      <c r="J11" s="12" t="s">
        <v>8</v>
      </c>
      <c r="K11" s="13" t="s">
        <v>9</v>
      </c>
      <c r="M11" s="10"/>
      <c r="N11" s="11" t="s">
        <v>0</v>
      </c>
      <c r="O11" s="12" t="s">
        <v>1</v>
      </c>
      <c r="P11" s="12" t="s">
        <v>2</v>
      </c>
      <c r="Q11" s="12" t="s">
        <v>3</v>
      </c>
      <c r="R11" s="12" t="s">
        <v>4</v>
      </c>
      <c r="S11" s="12" t="s">
        <v>5</v>
      </c>
      <c r="T11" s="12" t="s">
        <v>6</v>
      </c>
      <c r="U11" s="12" t="s">
        <v>7</v>
      </c>
      <c r="V11" s="12" t="s">
        <v>8</v>
      </c>
      <c r="W11" s="13" t="s">
        <v>9</v>
      </c>
      <c r="Y11" s="77" t="s">
        <v>3</v>
      </c>
      <c r="Z11" s="122" t="b">
        <v>0</v>
      </c>
      <c r="AA11" s="123" t="b">
        <v>0</v>
      </c>
      <c r="AC11" s="107"/>
      <c r="AD11" s="73"/>
      <c r="AE11" s="107"/>
    </row>
    <row r="12" spans="1:39">
      <c r="A12" s="7" t="s">
        <v>10</v>
      </c>
      <c r="B12" s="14">
        <f>Cr+An+Stm-Enc+Pui_An*3+Pui_Cr*3+TCr+TAn</f>
        <v>0</v>
      </c>
      <c r="C12" s="6">
        <f>Cr+Aq+Stm-Enc+Pui_Aq*3+Pui_Cr*3+TCr+TAq</f>
        <v>0</v>
      </c>
      <c r="D12" s="6">
        <f>Cr+Au+Stm-Enc+Pui_Au*3+Pui_Cr*3+TCr+TAu</f>
        <v>0</v>
      </c>
      <c r="E12" s="6">
        <f>Cr+Co+Stm-Enc+Pui_Co*3+Pui_Cr*3+TCr+TCo</f>
        <v>0</v>
      </c>
      <c r="F12" s="6">
        <f>Cr+He+Stm-Enc+Pui_He*3+Pui_Cr*3+TCr+THe</f>
        <v>0</v>
      </c>
      <c r="G12" s="6">
        <f>Cr+Ig+Stm-Enc+Pui_Ig*3+Pui_Cr*3+TCr+TIg</f>
        <v>0</v>
      </c>
      <c r="H12" s="6">
        <f>Cr+Im+Stm-Enc+Pui_Im*3+Pui_Cr*3+TCr+TIm</f>
        <v>0</v>
      </c>
      <c r="I12" s="6">
        <f>Cr+Me+Stm-Enc+Pui_Me*3+Pui_Cr*3+TCr+TMe</f>
        <v>0</v>
      </c>
      <c r="J12" s="6">
        <f>Cr+Te+Stm-Enc+Pui_Te*3+Pui_Cr*3+TCr+TTe</f>
        <v>0</v>
      </c>
      <c r="K12" s="15">
        <f>Cr+Vi+Stm-Enc+Pui_Vi*3+Pui_Cr*3+TCr+TVi</f>
        <v>0</v>
      </c>
      <c r="M12" s="7" t="s">
        <v>10</v>
      </c>
      <c r="N12" s="35">
        <f>Cr+Stm+An-Enc+Pui_An*3+Pui_Cr*3+TCr+TAn</f>
        <v>0</v>
      </c>
      <c r="O12" s="36">
        <f>Cr+Stm+Aq-Enc+Pui_Aq*3+Pui_Cr*3+TCr+TAq</f>
        <v>0</v>
      </c>
      <c r="P12" s="36">
        <f>Cr+Stm+Au-Enc+Pui_Au*3+Pui_Cr*3+TCr+TAu</f>
        <v>0</v>
      </c>
      <c r="Q12" s="36">
        <f>Cr+Stm+Co-Enc+Pui_Co*3+Pui_Cr*3+TCr+TCo</f>
        <v>0</v>
      </c>
      <c r="R12" s="36">
        <f>Cr+Stm+He-Enc+Pui_He*3+Pui_Cr*3+TCr+THe</f>
        <v>0</v>
      </c>
      <c r="S12" s="36">
        <f>Cr+Stm+Ig-Enc+Pui_Ig*3+Pui_Cr*3+TCr+TIg</f>
        <v>0</v>
      </c>
      <c r="T12" s="36">
        <f>Cr+Stm+Im-Enc+Pui_Im*3+Pui_Cr*3+TCr+TIm</f>
        <v>0</v>
      </c>
      <c r="U12" s="36">
        <f>Cr+Stm+Me-Enc+Pui_Me*3+Pui_Cr*3+TCr+TMe</f>
        <v>0</v>
      </c>
      <c r="V12" s="36">
        <f>Cr+Stm+Te-Enc+Pui_Te*3+Pui_Cr*3+TCr+TTe</f>
        <v>0</v>
      </c>
      <c r="W12" s="37">
        <f>Cr+Stm+Vi-Enc+Pui_Vi*3+Pui_Cr*3+TCr+TVi</f>
        <v>0</v>
      </c>
      <c r="Y12" s="77" t="s">
        <v>4</v>
      </c>
      <c r="Z12" s="122" t="b">
        <v>0</v>
      </c>
      <c r="AA12" s="123" t="b">
        <v>0</v>
      </c>
    </row>
    <row r="13" spans="1:39">
      <c r="A13" s="8" t="s">
        <v>11</v>
      </c>
      <c r="B13" s="16">
        <f>In+An+Stm-Enc+Pui_An*3+Pui_In*3+TIn+TAn</f>
        <v>0</v>
      </c>
      <c r="C13" s="1">
        <f>In+Aq+Stm-Enc+Pui_Aq*3+Pui_In*3+TIn+TAq</f>
        <v>0</v>
      </c>
      <c r="D13" s="1">
        <f>In+Au+Stm-Enc+Pui_Au*3+Pui_In*3+TIn+TAu</f>
        <v>0</v>
      </c>
      <c r="E13" s="1">
        <f>In+Co+Stm-Enc+Pui_Co*3+Pui_In*3+TIn+TCo</f>
        <v>0</v>
      </c>
      <c r="F13" s="1">
        <f>In+He+Stm-Enc+Pui_He*3+Pui_In*3+TIn+THe</f>
        <v>0</v>
      </c>
      <c r="G13" s="1">
        <f>In+Ig+Stm-Enc+Pui_Ig*3+Pui_In*3+TIn+TIg</f>
        <v>0</v>
      </c>
      <c r="H13" s="1">
        <f>In+Im+Stm-Enc+Pui_Im*3+Pui_In*3+TIn+TIm</f>
        <v>0</v>
      </c>
      <c r="I13" s="1">
        <f>In+Me+Stm-Enc+Pui_Me*3+Pui_In*3+TIn+TMe</f>
        <v>0</v>
      </c>
      <c r="J13" s="1">
        <f>In+Te+Stm-Enc+Pui_Te*3+Pui_In*3+TIn+TTe</f>
        <v>0</v>
      </c>
      <c r="K13" s="17">
        <f>In+Vi+Stm-Enc+Pui_Vi*3+Pui_In*3+TIn+TVi</f>
        <v>0</v>
      </c>
      <c r="M13" s="8" t="s">
        <v>11</v>
      </c>
      <c r="N13" s="38">
        <f>In+Stm+An-Enc+Pui_An*3+Pui_In*3+TIn+TAn</f>
        <v>0</v>
      </c>
      <c r="O13" s="39">
        <f>In+Stm+Aq-Enc+Pui_Aq*3+Pui_In*3+TIn+TAq</f>
        <v>0</v>
      </c>
      <c r="P13" s="39">
        <f>In+Stm+Au-Enc+Pui_Au*3+Pui_In*3+TIn+TAu</f>
        <v>0</v>
      </c>
      <c r="Q13" s="39">
        <f>In+Stm+Co-Enc+Pui_Co*3+Pui_In*3+TIn+TCo</f>
        <v>0</v>
      </c>
      <c r="R13" s="39">
        <f>In+Stm+He-Enc+Pui_He*3+Pui_In*3+TIn+THe</f>
        <v>0</v>
      </c>
      <c r="S13" s="39">
        <f>In+Stm+Ig-Enc+Pui_Ig*3+Pui_In*3+TIn+TIg</f>
        <v>0</v>
      </c>
      <c r="T13" s="39">
        <f>In+Stm+Im-Enc+Pui_Im*3+Pui_In*3+TIn+TIm</f>
        <v>0</v>
      </c>
      <c r="U13" s="39">
        <f>In+Stm+Me-Enc+Pui_Me*3+Pui_In*3+TIn+TMe</f>
        <v>0</v>
      </c>
      <c r="V13" s="39">
        <f>In+Stm+Te-Enc+Pui_Te*3+Pui_In*3+TIn+TTe</f>
        <v>0</v>
      </c>
      <c r="W13" s="40">
        <f>In+Stm+Vi-Enc+Pui_Vi*3+Pui_In*3+TIn+TVi</f>
        <v>0</v>
      </c>
      <c r="Y13" s="77" t="s">
        <v>5</v>
      </c>
      <c r="Z13" s="122" t="b">
        <v>0</v>
      </c>
      <c r="AA13" s="123" t="b">
        <v>0</v>
      </c>
    </row>
    <row r="14" spans="1:39">
      <c r="A14" s="8" t="s">
        <v>12</v>
      </c>
      <c r="B14" s="16">
        <f>Mu+An+Stm-Enc+Pui_An*3+Pui_Mu*3+TMu+TAn</f>
        <v>0</v>
      </c>
      <c r="C14" s="1">
        <f>Mu+Aq+Stm-Enc+Pui_Aq*3+Pui_Mu*3+TMu+TAq</f>
        <v>0</v>
      </c>
      <c r="D14" s="1">
        <f>Mu+Au+Stm-Enc+Pui_Au*3+Pui_Mu*3+TMu+TAu</f>
        <v>0</v>
      </c>
      <c r="E14" s="1">
        <f>Mu+Co+Stm-Enc+Pui_Co*3+Pui_Mu*3+TMu+TCo</f>
        <v>0</v>
      </c>
      <c r="F14" s="1">
        <f>Mu+He+Stm-Enc+Pui_He*3+Pui_Mu*3+TMu+THe</f>
        <v>0</v>
      </c>
      <c r="G14" s="1">
        <f>Mu+Ig+Stm-Enc+Pui_Ig*3+Pui_Mu*3+TMu+TIg</f>
        <v>0</v>
      </c>
      <c r="H14" s="1">
        <f>Mu+Im+Stm-Enc+Pui_Im*3+Pui_Mu*3+TMu+TIm</f>
        <v>0</v>
      </c>
      <c r="I14" s="1">
        <f>Mu+Me+Stm-Enc+Pui_Me*3+Pui_Mu*3+TMu+TMe</f>
        <v>0</v>
      </c>
      <c r="J14" s="1">
        <f>Mu+Te+Stm-Enc+Pui_Te*3+Pui_Mu*3+TMu+TTe</f>
        <v>0</v>
      </c>
      <c r="K14" s="17">
        <f>Mu+Vi+Stm-Enc+Pui_Vi*3+Pui_Mu*3+TMu+TVi</f>
        <v>0</v>
      </c>
      <c r="M14" s="8" t="s">
        <v>12</v>
      </c>
      <c r="N14" s="38">
        <f>Mu+Stm+An-Enc+Pui_An*3+Pui_Mu*3+TMu+TAn</f>
        <v>0</v>
      </c>
      <c r="O14" s="39">
        <f>Mu+Stm+Aq-Enc+Pui_Aq*3+Pui_Mu*3+TMu+TAq</f>
        <v>0</v>
      </c>
      <c r="P14" s="39">
        <f>Mu+Stm+Au-Enc+Pui_Au*3+Pui_Mu*3+TMu+TAu</f>
        <v>0</v>
      </c>
      <c r="Q14" s="39">
        <f>Mu+Stm+Co-Enc+Pui_Co*3+Pui_Mu*3+TMu+TCo</f>
        <v>0</v>
      </c>
      <c r="R14" s="39">
        <f>Mu+Stm+He-Enc+Pui_He*3+Pui_Mu*3+TMu+THe</f>
        <v>0</v>
      </c>
      <c r="S14" s="39">
        <f>Mu+Stm+Ig-Enc+Pui_Ig*3+Pui_Mu*3+TMu+TIg</f>
        <v>0</v>
      </c>
      <c r="T14" s="39">
        <f>Mu+Stm+Im-Enc+Pui_Im*3+Pui_Mu*3+TMu+TIm</f>
        <v>0</v>
      </c>
      <c r="U14" s="39">
        <f>Mu+Stm+Me-Enc+Pui_Me*3+Pui_Mu*3+TMu+TMe</f>
        <v>0</v>
      </c>
      <c r="V14" s="39">
        <f>Mu+Stm+Te-Enc+Pui_Te*3+Pui_Mu*3+TMu+TTe</f>
        <v>0</v>
      </c>
      <c r="W14" s="40">
        <f>Mu+Stm+Vi-Enc+Pui_Vi*3+Pui_Mu*3+TMu+TVi</f>
        <v>0</v>
      </c>
      <c r="Y14" s="77" t="s">
        <v>6</v>
      </c>
      <c r="Z14" s="122" t="b">
        <v>0</v>
      </c>
      <c r="AA14" s="123" t="b">
        <v>0</v>
      </c>
      <c r="AD14" s="10"/>
    </row>
    <row r="15" spans="1:39">
      <c r="A15" s="8" t="s">
        <v>13</v>
      </c>
      <c r="B15" s="16">
        <f>Pe+An+Stm-Enc+Pui_An*3+Pui_Pe*3+TPe+TAn</f>
        <v>0</v>
      </c>
      <c r="C15" s="1">
        <f>Pe+Aq+Stm-Enc+Pui_Aq*3+Pui_Pe*3+TPe+TAq</f>
        <v>0</v>
      </c>
      <c r="D15" s="1">
        <f>Pe+Au+Stm-Enc+Pui_Au*3+Pui_Pe*3+TPe+TAu</f>
        <v>0</v>
      </c>
      <c r="E15" s="1">
        <f>Pe+Co+Stm-Enc+Pui_Co*3+Pui_Pe*3+TPe+TCo</f>
        <v>0</v>
      </c>
      <c r="F15" s="1">
        <f>Pe+He+Stm-Enc+Pui_He*3+Pui_Pe*3+TPe+THe</f>
        <v>0</v>
      </c>
      <c r="G15" s="1">
        <f>Pe+Ig+Stm-Enc+Pui_Ig*3+Pui_Pe*3+TPe+TIg</f>
        <v>0</v>
      </c>
      <c r="H15" s="1">
        <f>Pe+Im+Stm-Enc+Pui_Im*3+Pui_Pe*3+TPe+TIm</f>
        <v>0</v>
      </c>
      <c r="I15" s="1">
        <f>Pe+Me+Stm-Enc+Pui_Me*3+Pui_Pe*3+TPe+TMe</f>
        <v>0</v>
      </c>
      <c r="J15" s="1">
        <f>Pe+Te+Stm-Enc+Pui_Te*3+Pui_Pe*3+TPe+TTe</f>
        <v>0</v>
      </c>
      <c r="K15" s="17">
        <f>Pe+Vi+Stm-Enc+Pui_Vi*3+Pui_Pe*3+TPe+TVi</f>
        <v>0</v>
      </c>
      <c r="M15" s="8" t="s">
        <v>13</v>
      </c>
      <c r="N15" s="38">
        <f>Pe+Stm+An-Enc+Pui_An*3+Pui_Pe*3+TPe+TAn</f>
        <v>0</v>
      </c>
      <c r="O15" s="39">
        <f>Pe+Stm+Aq-Enc+Pui_Aq*3+Pui_Pe*3+TPe+TAq</f>
        <v>0</v>
      </c>
      <c r="P15" s="39">
        <f>Pe+Stm+Au-Enc+Pui_Au*3+Pui_Pe*3+TPe+TAu</f>
        <v>0</v>
      </c>
      <c r="Q15" s="39">
        <f>Pe+Stm+Co-Enc+Pui_Co*3+Pui_Pe*3+TPe+TCo</f>
        <v>0</v>
      </c>
      <c r="R15" s="39">
        <f>Pe+Stm+He-Enc+Pui_He*3+Pui_Pe*3+TPe+THe</f>
        <v>0</v>
      </c>
      <c r="S15" s="39">
        <f>Pe+Stm+Ig-Enc+Pui_Ig*3+Pui_Pe*3+TPe+TIg</f>
        <v>0</v>
      </c>
      <c r="T15" s="39">
        <f>Pe+Stm+Im-Enc+Pui_Im*3+Pui_Pe*3+TPe+TIm</f>
        <v>0</v>
      </c>
      <c r="U15" s="39">
        <f>Pe+Stm+Me-Enc+Pui_Me*3+Pui_Pe*3+TPe+TMe</f>
        <v>0</v>
      </c>
      <c r="V15" s="39">
        <f>Pe+Stm+Te-Enc+Pui_Te*3+Pui_Pe*3+TPe+TTe</f>
        <v>0</v>
      </c>
      <c r="W15" s="40">
        <f>Pe+Stm+Vi-Enc+Pui_Vi*3+Pui_Pe*3+TPe+TVi</f>
        <v>0</v>
      </c>
      <c r="Y15" s="77" t="s">
        <v>7</v>
      </c>
      <c r="Z15" s="122" t="b">
        <v>0</v>
      </c>
      <c r="AA15" s="123" t="b">
        <v>0</v>
      </c>
    </row>
    <row r="16" spans="1:39" ht="13.5" thickBot="1">
      <c r="A16" s="9" t="s">
        <v>14</v>
      </c>
      <c r="B16" s="18">
        <f>Re+An+Stm-Enc+Pui_An*3+Pui_Re*3+TRe+TAn</f>
        <v>0</v>
      </c>
      <c r="C16" s="2">
        <f>Re+Aq+Stm-Enc+Pui_Aq*3+Pui_Re*3+TRe+TAq</f>
        <v>0</v>
      </c>
      <c r="D16" s="2">
        <f>Re+Au+Stm-Enc+Pui_Au*3+Pui_Re*3+TRe+TAu</f>
        <v>0</v>
      </c>
      <c r="E16" s="2">
        <f>Re+Co+Stm-Enc+Pui_Co*3+Pui_Re*3+TRe+TCo</f>
        <v>0</v>
      </c>
      <c r="F16" s="2">
        <f>Re+He+Stm-Enc+Pui_He*3+Pui_Re*3+TRe+THe</f>
        <v>0</v>
      </c>
      <c r="G16" s="2">
        <f>Re+Ig+Stm-Enc+Pui_Ig*3+Pui_Re*3+TRe+TIg</f>
        <v>0</v>
      </c>
      <c r="H16" s="2">
        <f>Re+Im+Stm-Enc+Pui_Im*3+Pui_Re*3+TRe+TIm</f>
        <v>0</v>
      </c>
      <c r="I16" s="2">
        <f>Re+Me+Stm-Enc+Pui_Me*3+Pui_Re*3+TRe+TMe</f>
        <v>0</v>
      </c>
      <c r="J16" s="2">
        <f>Re+Te+Stm-Enc+Pui_Te*3+Pui_Re*3+TRe+TTe</f>
        <v>0</v>
      </c>
      <c r="K16" s="19">
        <f>Re+Vi+Stm-Enc+Pui_Vi*3+Pui_Re*3+TRe+TVi</f>
        <v>0</v>
      </c>
      <c r="M16" s="9" t="s">
        <v>14</v>
      </c>
      <c r="N16" s="41">
        <f>Re+Stm+An-Enc+Pui_An*3+Pui_Re*3+TRe+TAn</f>
        <v>0</v>
      </c>
      <c r="O16" s="42">
        <f>Re+Stm+Aq-Enc+Pui_Aq*3+Pui_Re*3+TRe+TAq</f>
        <v>0</v>
      </c>
      <c r="P16" s="42">
        <f>Re+Stm+Au-Enc+Pui_Au*3+Pui_Re*3+TRe+TAu</f>
        <v>0</v>
      </c>
      <c r="Q16" s="42">
        <f>Re+Stm+Co-Enc+Pui_Co*3+Pui_Re*3+TRe+TCo</f>
        <v>0</v>
      </c>
      <c r="R16" s="42">
        <f>Re+Stm+He-Enc+Pui_He*3+Pui_Re*3+TRe+THe</f>
        <v>0</v>
      </c>
      <c r="S16" s="42">
        <f>Re+Stm+Ig-Enc+Pui_Ig*3+Pui_Re*3+TRe+TIg</f>
        <v>0</v>
      </c>
      <c r="T16" s="42">
        <f>Re+Stm+Im-Enc+Pui_Im*3+Pui_Re*3+TRe+TIm</f>
        <v>0</v>
      </c>
      <c r="U16" s="42">
        <f>Re+Stm+Me-Enc+Pui_Me*3+Pui_Re*3+TRe+TMe</f>
        <v>0</v>
      </c>
      <c r="V16" s="42">
        <f>Re+Stm+Te-Enc+Pui_Te*3+Pui_Re*3+TRe+TTe</f>
        <v>0</v>
      </c>
      <c r="W16" s="43">
        <f>Re+Stm+Vi-Enc+Pui_Vi*3+Pui_Re*3+TRe+TVi</f>
        <v>0</v>
      </c>
      <c r="Y16" s="77" t="s">
        <v>8</v>
      </c>
      <c r="Z16" s="122" t="b">
        <v>0</v>
      </c>
      <c r="AA16" s="123" t="b">
        <v>0</v>
      </c>
    </row>
    <row r="17" spans="1:39" ht="13.5" thickBot="1">
      <c r="Y17" s="78" t="s">
        <v>9</v>
      </c>
      <c r="Z17" s="124" t="b">
        <v>0</v>
      </c>
      <c r="AA17" s="125" t="b">
        <v>0</v>
      </c>
      <c r="AB17" s="10"/>
    </row>
    <row r="18" spans="1:39" ht="13.5" thickBot="1">
      <c r="A18" s="20" t="s">
        <v>50</v>
      </c>
      <c r="M18" s="20" t="s">
        <v>30</v>
      </c>
      <c r="Y18" s="80" t="s">
        <v>15</v>
      </c>
      <c r="Z18" s="126"/>
      <c r="AA18" s="127" t="b">
        <v>0</v>
      </c>
      <c r="AF18" s="85" t="s">
        <v>70</v>
      </c>
    </row>
    <row r="19" spans="1:39" ht="13.5" thickBot="1">
      <c r="A19" s="10"/>
      <c r="B19" s="11" t="s">
        <v>0</v>
      </c>
      <c r="C19" s="12" t="s">
        <v>1</v>
      </c>
      <c r="D19" s="12" t="s">
        <v>2</v>
      </c>
      <c r="E19" s="12" t="s">
        <v>3</v>
      </c>
      <c r="F19" s="12" t="s">
        <v>4</v>
      </c>
      <c r="G19" s="12" t="s">
        <v>5</v>
      </c>
      <c r="H19" s="12" t="s">
        <v>6</v>
      </c>
      <c r="I19" s="12" t="s">
        <v>7</v>
      </c>
      <c r="J19" s="12" t="s">
        <v>8</v>
      </c>
      <c r="K19" s="13" t="s">
        <v>9</v>
      </c>
      <c r="M19" s="10"/>
      <c r="N19" s="11" t="s">
        <v>0</v>
      </c>
      <c r="O19" s="12" t="s">
        <v>1</v>
      </c>
      <c r="P19" s="12" t="s">
        <v>2</v>
      </c>
      <c r="Q19" s="12" t="s">
        <v>3</v>
      </c>
      <c r="R19" s="12" t="s">
        <v>4</v>
      </c>
      <c r="S19" s="12" t="s">
        <v>5</v>
      </c>
      <c r="T19" s="29" t="s">
        <v>6</v>
      </c>
      <c r="U19" s="12" t="s">
        <v>7</v>
      </c>
      <c r="V19" s="29" t="s">
        <v>8</v>
      </c>
      <c r="W19" s="13" t="s">
        <v>9</v>
      </c>
    </row>
    <row r="20" spans="1:39">
      <c r="A20" s="7" t="s">
        <v>10</v>
      </c>
      <c r="B20" s="14">
        <f>Cr+Stm+An+ALi+Phi+Pui_An*3+Pui_Cr*3+TCr+TAn</f>
        <v>0</v>
      </c>
      <c r="C20" s="6">
        <f>Cr+Stm+Aq+ALi+Phi+Pui_Aq*3+Pui_Cr*3+TCr+TAq</f>
        <v>0</v>
      </c>
      <c r="D20" s="6">
        <f>Cr+Stm+Au+ALi+Phi+Pui_Au*3+Pui_Cr*3+TCr+TAu</f>
        <v>0</v>
      </c>
      <c r="E20" s="6">
        <f>Cr+Stm+Co+ALi+Phi+Pui_Co*3+Pui_Cr*3+TCr+TCo</f>
        <v>0</v>
      </c>
      <c r="F20" s="6">
        <f>Cr+Stm+He+ALi+Phi+Pui_He*3+Pui_Cr*3+TCr+THe</f>
        <v>0</v>
      </c>
      <c r="G20" s="6">
        <f>Cr+Stm+Ig+ALi+Phi+Pui_Ig*3+Pui_Cr*3+TCr+TIg</f>
        <v>0</v>
      </c>
      <c r="H20" s="6">
        <f>Cr+Stm+Im+ALi+Phi+Pui_Im*3+Pui_Cr*3+TCr+TIm</f>
        <v>0</v>
      </c>
      <c r="I20" s="6">
        <f>Cr+Stm+Me+ALi+Phi+Pui_Me*3+Pui_Cr*3+TCr+TMe</f>
        <v>0</v>
      </c>
      <c r="J20" s="6">
        <f>Cr+Stm+Te+ALi+Phi+Pui_Te*3+Pui_Cr*3+TCr+TTe</f>
        <v>0</v>
      </c>
      <c r="K20" s="15">
        <f>Cr+Stm+Vi+ALi+Phi+Pui_Vi*3+Pui_Cr*3+TCr+TVi</f>
        <v>0</v>
      </c>
      <c r="M20" s="7" t="s">
        <v>10</v>
      </c>
      <c r="N20" s="14">
        <f>Cr+Int+3+An+Pui_An*3+Pui_Cr*3+MT+Pui_MT*2</f>
        <v>3</v>
      </c>
      <c r="O20" s="6">
        <f>Cr+Int+3+Aq+Pui_Aq*3+Pui_Cr*3+MT+Pui_MT*2</f>
        <v>3</v>
      </c>
      <c r="P20" s="6">
        <f>Cr+Int+3+Au+Pui_Au*3+Pui_Cr*3+MT+Pui_MT*2</f>
        <v>3</v>
      </c>
      <c r="Q20" s="6">
        <f>Cr+Int+3+Co+Pui_Co*3+Pui_Cr*3+MT+Pui_MT*2</f>
        <v>3</v>
      </c>
      <c r="R20" s="6">
        <f>Cr+Int+3+He+Pui_He*3+Pui_Cr*3+MT+Pui_MT*2</f>
        <v>3</v>
      </c>
      <c r="S20" s="6">
        <f>Cr+Int+3+Ig+Pui_Ig*3+Pui_Cr*3+MT+Pui_MT*2</f>
        <v>3</v>
      </c>
      <c r="T20" s="6">
        <f>Cr+Int+3+Im+Pui_Im*3+Pui_Cr*3+MT+Pui_MT*2</f>
        <v>3</v>
      </c>
      <c r="U20" s="6">
        <f>Cr+Int+3+Me+Pui_Me*3+Pui_Cr*3+MT+Pui_MT*2</f>
        <v>3</v>
      </c>
      <c r="V20" s="6">
        <f>Cr+Int+3+Te+Pui_Te*3+Pui_Cr*3+MT+Pui_MT*2</f>
        <v>3</v>
      </c>
      <c r="W20" s="15">
        <f>Cr+Int+3+Vi+Pui_Vi*3+Pui_Cr*3+MT+Pui_MT*2</f>
        <v>3</v>
      </c>
      <c r="Y20" s="108" t="s">
        <v>68</v>
      </c>
      <c r="Z20" s="109"/>
      <c r="AA20" s="110"/>
      <c r="AB20" s="110"/>
      <c r="AC20" s="110"/>
      <c r="AD20" s="129">
        <v>0</v>
      </c>
      <c r="AF20" s="86" t="s">
        <v>10</v>
      </c>
      <c r="AG20" s="128">
        <v>0</v>
      </c>
      <c r="AH20" s="87" t="s">
        <v>0</v>
      </c>
      <c r="AI20" s="128">
        <v>0</v>
      </c>
      <c r="AJ20" s="87" t="s">
        <v>5</v>
      </c>
      <c r="AK20" s="61">
        <v>0</v>
      </c>
    </row>
    <row r="21" spans="1:39" ht="13.5" thickBot="1">
      <c r="A21" s="8" t="s">
        <v>11</v>
      </c>
      <c r="B21" s="16">
        <f>In+Stm+ALi+Phi+Pui_An*3+Pui_In*3+TIn+TAn</f>
        <v>0</v>
      </c>
      <c r="C21" s="1">
        <f>In+Stm+Aq+ALi+Phi+Pui_Aq*3+Pui_In*3+TIn+TAq</f>
        <v>0</v>
      </c>
      <c r="D21" s="1">
        <f>In+Stm+Au+ALi+Phi+Pui_Au*3+Pui_In*3+TIn+TAu</f>
        <v>0</v>
      </c>
      <c r="E21" s="1">
        <f>In+Stm+Co+ALi+Phi+Pui_Co*3+Pui_In*3+TIn+TCo</f>
        <v>0</v>
      </c>
      <c r="F21" s="1">
        <f>In+Stm+He+ALi+Phi+Pui_He*3+Pui_In*3+TIn+THe</f>
        <v>0</v>
      </c>
      <c r="G21" s="1">
        <f>In+Stm+Ig+ALi+Phi+Pui_Ig*3+Pui_In*3+TIn+TIg</f>
        <v>0</v>
      </c>
      <c r="H21" s="1">
        <f>In+Stm+Im+ALi+Phi+Pui_Im*3+Pui_In*3+TIn+TIm</f>
        <v>0</v>
      </c>
      <c r="I21" s="1">
        <f>In+Stm+Me+ALi+Phi+Pui_Me*3+Pui_In*3+TIn+TMe</f>
        <v>0</v>
      </c>
      <c r="J21" s="1">
        <f>In+Stm+Te+ALi+Phi+Pui_Te*3+Pui_In*3+TIn+TTe</f>
        <v>0</v>
      </c>
      <c r="K21" s="17">
        <f>In+Stm+Vi+ALi+Phi+Pui_Vi*3+Pui_In*3+TIn+TVi</f>
        <v>0</v>
      </c>
      <c r="M21" s="8" t="s">
        <v>11</v>
      </c>
      <c r="N21" s="16">
        <f>In+Int+3+An+Pui_An*3+Pui_In*3+MT+Pui_MT*2</f>
        <v>3</v>
      </c>
      <c r="O21" s="1">
        <f>In+Int+3+Aq+Pui_Aq*3+Pui_In*3+MT+Pui_MT*2</f>
        <v>3</v>
      </c>
      <c r="P21" s="1">
        <f>In+Int+3+Au+Pui_Au*3+Pui_In*3+MT+Pui_MT*2</f>
        <v>3</v>
      </c>
      <c r="Q21" s="1">
        <f>In+Int+3+Co+Pui_Co*3+Pui_In*3+MT+Pui_MT*2</f>
        <v>3</v>
      </c>
      <c r="R21" s="1">
        <f>In+Int+3+He+Pui_He*3+Pui_In*3+MT+Pui_MT*2</f>
        <v>3</v>
      </c>
      <c r="S21" s="1">
        <f>In+Int+3+Ig+Pui_Ig*3+Pui_In*3+MT+Pui_MT*2</f>
        <v>3</v>
      </c>
      <c r="T21" s="1">
        <f>In+Int+3+Im+Pui_Im*3+Pui_In*3+MT+Pui_MT*2</f>
        <v>3</v>
      </c>
      <c r="U21" s="1">
        <f>In+Int+3+Me+Pui_Me*3+Pui_In*3+MT+Pui_MT*2</f>
        <v>3</v>
      </c>
      <c r="V21" s="1">
        <f>In+Int+3+Te+Pui_Te*3+Pui_In*3+MT+Pui_MT*2</f>
        <v>3</v>
      </c>
      <c r="W21" s="17">
        <f>In+Int+3+Vi+Pui_Vi*3+Pui_In*3+MT+Pui_MT*2</f>
        <v>3</v>
      </c>
      <c r="Y21" s="114" t="s">
        <v>69</v>
      </c>
      <c r="Z21" s="111"/>
      <c r="AA21" s="112"/>
      <c r="AB21" s="112"/>
      <c r="AC21" s="112"/>
      <c r="AD21" s="130" t="b">
        <v>0</v>
      </c>
      <c r="AF21" s="88" t="s">
        <v>11</v>
      </c>
      <c r="AG21" s="59">
        <v>0</v>
      </c>
      <c r="AH21" s="89" t="s">
        <v>1</v>
      </c>
      <c r="AI21" s="59">
        <v>0</v>
      </c>
      <c r="AJ21" s="89" t="s">
        <v>6</v>
      </c>
      <c r="AK21" s="62">
        <v>0</v>
      </c>
    </row>
    <row r="22" spans="1:39">
      <c r="A22" s="8" t="s">
        <v>12</v>
      </c>
      <c r="B22" s="16">
        <f>Mu+Stm+An+ALi+Phi+Pui_An*3+Pui_Mu*3+TMu+TAn</f>
        <v>0</v>
      </c>
      <c r="C22" s="1">
        <f>Mu+Stm+Aq+ALi+Phi+Pui_Aq*3+Pui_Mu*3+TMu+TAq</f>
        <v>0</v>
      </c>
      <c r="D22" s="1">
        <f>Mu+Stm+Au+ALi+Phi+Pui_Au*3+Pui_Mu*3+TMu+TAu</f>
        <v>0</v>
      </c>
      <c r="E22" s="1">
        <f>Mu+Stm+Co+ALi+Phi+Pui_Co*3+Pui_Mu*3+TMu+TCo</f>
        <v>0</v>
      </c>
      <c r="F22" s="1">
        <f>Mu+Stm+He+ALi+Phi+Pui_He*3+Pui_Mu*3+TMu+THe</f>
        <v>0</v>
      </c>
      <c r="G22" s="1">
        <f>Mu+Stm+Ig+ALi+Phi+Pui_Ig*3+Pui_Mu*3+TMu+TIg</f>
        <v>0</v>
      </c>
      <c r="H22" s="1">
        <f>Mu+Stm+Im+ALi+Phi+Pui_Im*3+Pui_Mu*3+TMu+TIm</f>
        <v>0</v>
      </c>
      <c r="I22" s="1">
        <f>Mu+Stm+Me+ALi+Phi+Pui_Me*3+Pui_Mu*3+TMu+TMe</f>
        <v>0</v>
      </c>
      <c r="J22" s="1">
        <f>Mu+Stm+Te+ALi+Phi+Pui_Te*3+Pui_Mu*3+TMu+TTe</f>
        <v>0</v>
      </c>
      <c r="K22" s="17">
        <f>Mu+Stm+Vi+ALi+Phi+Pui_Vi*3+Pui_Mu*3+TMu+TVi</f>
        <v>0</v>
      </c>
      <c r="M22" s="8" t="s">
        <v>12</v>
      </c>
      <c r="N22" s="16">
        <f>Mu+Int+3+An+Pui_An*3+Pui_Mu*3+MT+Pui_MT*2</f>
        <v>3</v>
      </c>
      <c r="O22" s="1">
        <f>Mu+Int+3+Aq+Pui_Aq*3+Pui_Mu*3+MT+Pui_MT*2</f>
        <v>3</v>
      </c>
      <c r="P22" s="1">
        <f>Mu+Int+3+Au+Pui_Au*3+Pui_Mu*3+MT+Pui_MT*2</f>
        <v>3</v>
      </c>
      <c r="Q22" s="1">
        <f>Mu+Int+3+Co+Pui_Co*3+Pui_Mu*3+MT+Pui_MT*2</f>
        <v>3</v>
      </c>
      <c r="R22" s="1">
        <f>Mu+Int+3+He+Pui_He*3+Pui_Mu*3+MT+Pui_MT*2</f>
        <v>3</v>
      </c>
      <c r="S22" s="1">
        <f>Mu+Int+3+Ig+Pui_Ig*3+Pui_Mu*3+MT+Pui_MT*2</f>
        <v>3</v>
      </c>
      <c r="T22" s="1">
        <f>Mu+Int+3+Im+Pui_Im*3+Pui_Mu*3+MT+Pui_MT*2</f>
        <v>3</v>
      </c>
      <c r="U22" s="1">
        <f>Mu+Int+3+Me+Pui_Me*3+Pui_Mu*3+MT+Pui_MT*2</f>
        <v>3</v>
      </c>
      <c r="V22" s="1">
        <f>Mu+Int+3+Te+Pui_Te*3+Pui_Mu*3+MT+Pui_MT*2</f>
        <v>3</v>
      </c>
      <c r="W22" s="17">
        <f>Mu+Int+3+Vi+Pui_Vi*3+Pui_Mu*3+MT+Pui_MT*2</f>
        <v>3</v>
      </c>
      <c r="Y22" s="3" t="s">
        <v>46</v>
      </c>
      <c r="Z22" s="27"/>
      <c r="AA22" s="27"/>
      <c r="AB22" s="27"/>
      <c r="AC22" s="139">
        <v>150</v>
      </c>
      <c r="AD22" s="140"/>
      <c r="AE22" s="83"/>
      <c r="AF22" s="88" t="s">
        <v>12</v>
      </c>
      <c r="AG22" s="59">
        <v>0</v>
      </c>
      <c r="AH22" s="89" t="s">
        <v>2</v>
      </c>
      <c r="AI22" s="59">
        <v>0</v>
      </c>
      <c r="AJ22" s="89" t="s">
        <v>7</v>
      </c>
      <c r="AK22" s="62">
        <v>0</v>
      </c>
      <c r="AL22" s="107"/>
      <c r="AM22" s="115"/>
    </row>
    <row r="23" spans="1:39">
      <c r="A23" s="8" t="s">
        <v>13</v>
      </c>
      <c r="B23" s="16">
        <f>Pe+Stm+An+ALi+Phi+Pui_An*3+Pui_Pe*3+TPe+TAn</f>
        <v>0</v>
      </c>
      <c r="C23" s="1">
        <f>Pe+Stm+Aq+ALi+Phi+Pui_Aq*3+Pui_Pe*3+TPe+TAq</f>
        <v>0</v>
      </c>
      <c r="D23" s="1">
        <f>Pe+Stm+Au+ALi+Phi+Pui_Au*3+Pui_Pe*3+TPe+TAu</f>
        <v>0</v>
      </c>
      <c r="E23" s="1">
        <f>Pe+Stm+Co+ALi+Phi+Pui_Co*3+Pui_Pe*3+TPe+TCo</f>
        <v>0</v>
      </c>
      <c r="F23" s="1">
        <f>Pe+Stm+He+ALi+Phi+Pui_He*3+Pui_Pe*3+TPe+THe</f>
        <v>0</v>
      </c>
      <c r="G23" s="1">
        <f>Pe+Stm+Ig+ALi+Phi+Pui_Ig*3+Pui_Pe*3+TPe+TIg</f>
        <v>0</v>
      </c>
      <c r="H23" s="1">
        <f>Pe+Stm+Im+ALi+Phi+Pui_Im*3+Pui_Pe*3+TPe+TIm</f>
        <v>0</v>
      </c>
      <c r="I23" s="1">
        <f>Pe+Stm+Me+ALi+Phi+Pui_Me*3+Pui_Pe*3+TPe+TMe</f>
        <v>0</v>
      </c>
      <c r="J23" s="1">
        <f>Pe+Stm+Te+ALi+Phi+Pui_Te*3+Pui_Pe*3+TPe+TTe</f>
        <v>0</v>
      </c>
      <c r="K23" s="17">
        <f>Pe+Stm+Vi+ALi+Phi+Pui_Vi*3+Pui_Pe*3+TPe+TVi</f>
        <v>0</v>
      </c>
      <c r="M23" s="8" t="s">
        <v>13</v>
      </c>
      <c r="N23" s="16">
        <f>Pe+Int+3+An+Pui_An*3+Pui_Pe*3+MT+Pui_MT*2</f>
        <v>3</v>
      </c>
      <c r="O23" s="1">
        <f>Pe+Int+3+Aq+Pui_Aq*3+Pui_Pe*3+MT+Pui_MT*2</f>
        <v>3</v>
      </c>
      <c r="P23" s="1">
        <f>Pe+Int+3+Au+Pui_Au*3+Pui_Pe*3+MT+Pui_MT*2</f>
        <v>3</v>
      </c>
      <c r="Q23" s="1">
        <f>Pe+Int+3+Co+Pui_Co*3+Pui_Pe*3+MT+Pui_MT*2</f>
        <v>3</v>
      </c>
      <c r="R23" s="1">
        <f>Pe+Int+3+He+Pui_He*3+Pui_Pe*3+MT+Pui_MT*2</f>
        <v>3</v>
      </c>
      <c r="S23" s="1">
        <f>Pe+Int+3+Ig+Pui_Ig*3+Pui_Pe*3+MT+Pui_MT*2</f>
        <v>3</v>
      </c>
      <c r="T23" s="1">
        <f>Pe+Int+3+Im+Pui_Im*3+Pui_Pe*3+MT+Pui_MT*2</f>
        <v>3</v>
      </c>
      <c r="U23" s="1">
        <f>Pe+Int+3+Me+Pui_Me*3+Pui_Pe*3+MT+Pui_MT*2</f>
        <v>3</v>
      </c>
      <c r="V23" s="1">
        <f>Pe+Int+3+Te+Pui_Te*3+Pui_Pe*3+MT+Pui_MT*2</f>
        <v>3</v>
      </c>
      <c r="W23" s="17">
        <f>Pe+Int+3+Vi+Pui_Vi*3+Pui_Pe*3+MT+Pui_MT*2</f>
        <v>3</v>
      </c>
      <c r="Y23" s="4" t="s">
        <v>42</v>
      </c>
      <c r="Z23" s="10"/>
      <c r="AA23" s="10"/>
      <c r="AB23" s="10"/>
      <c r="AC23" s="141">
        <f>SUM(Z28:Z32,AB28:AB32,AD28:AD32)</f>
        <v>0</v>
      </c>
      <c r="AD23" s="142"/>
      <c r="AE23" s="84"/>
      <c r="AF23" s="88" t="s">
        <v>13</v>
      </c>
      <c r="AG23" s="59">
        <v>0</v>
      </c>
      <c r="AH23" s="89" t="s">
        <v>3</v>
      </c>
      <c r="AI23" s="59">
        <v>0</v>
      </c>
      <c r="AJ23" s="89" t="s">
        <v>8</v>
      </c>
      <c r="AK23" s="62">
        <v>0</v>
      </c>
      <c r="AL23" s="107"/>
      <c r="AM23" s="107"/>
    </row>
    <row r="24" spans="1:39" ht="13.5" thickBot="1">
      <c r="A24" s="9" t="s">
        <v>14</v>
      </c>
      <c r="B24" s="18">
        <f>Re+Stm+An+ALi+Phi+Pui_An*3+Pui_Re*3+TRe+TAn</f>
        <v>0</v>
      </c>
      <c r="C24" s="2">
        <f>Re+Stm+Aq+ALi+Phi+Pui_Aq*3+Pui_Re*3+TRe+TAq</f>
        <v>0</v>
      </c>
      <c r="D24" s="2">
        <f>Re+Stm+Au+ALi+Phi+Pui_Au*3+Pui_Re*3+TRe+TAu</f>
        <v>0</v>
      </c>
      <c r="E24" s="2">
        <f>Re+Stm+Co+ALi+Phi+Pui_Co*3+Pui_Re*3+TRe+TCo</f>
        <v>0</v>
      </c>
      <c r="F24" s="2">
        <f>Re+Stm+He+ALi+Phi+Pui_He*3+Pui_Re*3+TRe+THe</f>
        <v>0</v>
      </c>
      <c r="G24" s="2">
        <f>Re+Stm+Ig+ALi+Phi+Pui_Ig*3+Pui_Re*3+TRe+TIg</f>
        <v>0</v>
      </c>
      <c r="H24" s="2">
        <f>Re+Stm+Im+ALi+Phi+Pui_Im*3+Pui_Re*3+TRe+TIm</f>
        <v>0</v>
      </c>
      <c r="I24" s="2">
        <f>Re+Stm+Me+ALi+Phi+Pui_Me*3+Pui_Re*3+TRe+TMe</f>
        <v>0</v>
      </c>
      <c r="J24" s="2">
        <f>Re+Stm+Te+ALi+Phi+Pui_Te*3+Pui_Re*3+TRe+TTe</f>
        <v>0</v>
      </c>
      <c r="K24" s="19">
        <f>Re+Stm+Vi+ALi+Phi+Pui_Vi*3+Pui_Re*3+TRe+TVi</f>
        <v>0</v>
      </c>
      <c r="M24" s="9" t="s">
        <v>14</v>
      </c>
      <c r="N24" s="18">
        <f>Re+Int+3+An+Pui_An*3+Pui_Re*3+MT+Pui_MT*2</f>
        <v>3</v>
      </c>
      <c r="O24" s="2">
        <f>Re+Int+3+Aq+Pui_Aq*3+Pui_Re*3+MT+Pui_MT*2</f>
        <v>3</v>
      </c>
      <c r="P24" s="2">
        <f>Re+Int+3+Au+Pui_Au*3+Pui_Re*3+MT+Pui_MT*2</f>
        <v>3</v>
      </c>
      <c r="Q24" s="2">
        <f>Re+Int+3+Co+Pui_Co*3+Pui_Re*3+MT+Pui_MT*2</f>
        <v>3</v>
      </c>
      <c r="R24" s="2">
        <f>Re+Int+3+He+Pui_He*3+Pui_Re*3+MT+Pui_MT*2</f>
        <v>3</v>
      </c>
      <c r="S24" s="2">
        <f>Re+Int+3+Ig+Pui_Ig*3+Pui_Re*3+MT+Pui_MT*2</f>
        <v>3</v>
      </c>
      <c r="T24" s="2">
        <f>Re+Int+3+Im+Pui_Im*3+Pui_Re*3+MT+Pui_MT*2</f>
        <v>3</v>
      </c>
      <c r="U24" s="2">
        <f>Re+Int+3+Me+Pui_Me*3+Pui_Re*3+MT+Pui_MT*2</f>
        <v>3</v>
      </c>
      <c r="V24" s="2">
        <f>Re+Int+3+Te+Pui_Te*3+Pui_Re*3+MT+Pui_MT*2</f>
        <v>3</v>
      </c>
      <c r="W24" s="19">
        <f>Re+Int+3+Vi+Pui_Vi*3+Pui_Re*3+MT+Pui_MT*2</f>
        <v>3</v>
      </c>
      <c r="Y24" s="5" t="s">
        <v>43</v>
      </c>
      <c r="Z24" s="28"/>
      <c r="AA24" s="28"/>
      <c r="AB24" s="28"/>
      <c r="AC24" s="143">
        <f>spendpoints-AC23</f>
        <v>150</v>
      </c>
      <c r="AD24" s="144"/>
      <c r="AE24" s="84"/>
      <c r="AF24" s="90" t="s">
        <v>14</v>
      </c>
      <c r="AG24" s="60">
        <v>0</v>
      </c>
      <c r="AH24" s="91" t="s">
        <v>4</v>
      </c>
      <c r="AI24" s="60">
        <v>0</v>
      </c>
      <c r="AJ24" s="91" t="s">
        <v>9</v>
      </c>
      <c r="AK24" s="63">
        <v>0</v>
      </c>
    </row>
    <row r="26" spans="1:39">
      <c r="B26" s="20" t="s">
        <v>33</v>
      </c>
      <c r="K26" s="20" t="s">
        <v>31</v>
      </c>
      <c r="L26" s="23"/>
      <c r="M26" s="22" t="s">
        <v>32</v>
      </c>
      <c r="N26" s="23"/>
      <c r="O26" s="20"/>
      <c r="Q26" s="23"/>
      <c r="R26" s="22" t="s">
        <v>18</v>
      </c>
      <c r="T26" s="20"/>
      <c r="Y26" s="20" t="s">
        <v>38</v>
      </c>
      <c r="AF26" s="85" t="s">
        <v>71</v>
      </c>
    </row>
    <row r="27" spans="1:39" ht="13.5" thickBot="1">
      <c r="T27" s="20"/>
    </row>
    <row r="28" spans="1:39">
      <c r="B28" s="3" t="s">
        <v>28</v>
      </c>
      <c r="C28" s="27"/>
      <c r="D28" s="27"/>
      <c r="E28" s="27"/>
      <c r="F28" s="27"/>
      <c r="G28" s="27"/>
      <c r="H28" s="24">
        <f>Stm+Con</f>
        <v>0</v>
      </c>
      <c r="K28" s="30" t="s">
        <v>16</v>
      </c>
      <c r="L28" s="64">
        <v>0</v>
      </c>
      <c r="M28" s="32" t="s">
        <v>45</v>
      </c>
      <c r="N28" s="64">
        <v>0</v>
      </c>
      <c r="O28" s="32" t="s">
        <v>44</v>
      </c>
      <c r="P28" s="61">
        <v>0</v>
      </c>
      <c r="R28" s="92" t="s">
        <v>10</v>
      </c>
      <c r="S28" s="93">
        <f>IF(Af_Cr,ROUND((VLOOKUP(($Z28*3/2),arts2,2)),0),VLOOKUP($Z28,arts2,2))</f>
        <v>0</v>
      </c>
      <c r="T28" s="94" t="s">
        <v>0</v>
      </c>
      <c r="U28" s="93">
        <f>IF(Af_An,ROUND((VLOOKUP(($AB28*3/2),arts2,2)),0),VLOOKUP($AB28,arts2,2))</f>
        <v>0</v>
      </c>
      <c r="V28" s="94" t="s">
        <v>5</v>
      </c>
      <c r="W28" s="95">
        <f>IF(Af_Ig,ROUND((VLOOKUP(($AD28*3/2),arts2,2)),0),VLOOKUP($AD28,arts2,2))</f>
        <v>0</v>
      </c>
      <c r="X28" s="10"/>
      <c r="Y28" s="3" t="s">
        <v>10</v>
      </c>
      <c r="Z28" s="132">
        <v>0</v>
      </c>
      <c r="AA28" s="56" t="s">
        <v>0</v>
      </c>
      <c r="AB28" s="132">
        <v>0</v>
      </c>
      <c r="AC28" s="56" t="s">
        <v>5</v>
      </c>
      <c r="AD28" s="135">
        <v>0</v>
      </c>
      <c r="AF28" s="86" t="s">
        <v>10</v>
      </c>
      <c r="AG28" s="58">
        <v>0</v>
      </c>
      <c r="AH28" s="87" t="s">
        <v>0</v>
      </c>
      <c r="AI28" s="58">
        <v>0</v>
      </c>
      <c r="AJ28" s="87" t="s">
        <v>5</v>
      </c>
      <c r="AK28" s="61">
        <v>0</v>
      </c>
    </row>
    <row r="29" spans="1:39">
      <c r="B29" s="4" t="s">
        <v>40</v>
      </c>
      <c r="C29" s="10"/>
      <c r="D29" s="10"/>
      <c r="E29" s="10"/>
      <c r="F29" s="10"/>
      <c r="G29" s="10"/>
      <c r="H29" s="25">
        <f>Per+Fin</f>
        <v>0</v>
      </c>
      <c r="K29" s="31" t="s">
        <v>21</v>
      </c>
      <c r="L29" s="65">
        <v>0</v>
      </c>
      <c r="M29" s="33" t="s">
        <v>22</v>
      </c>
      <c r="N29" s="65">
        <v>0</v>
      </c>
      <c r="O29" s="33" t="s">
        <v>39</v>
      </c>
      <c r="P29" s="62">
        <v>0</v>
      </c>
      <c r="R29" s="96" t="s">
        <v>11</v>
      </c>
      <c r="S29" s="97">
        <f>IF(Af_In,ROUND((VLOOKUP(($Z29*3/2),arts2,2)),0),VLOOKUP($Z29,arts2,2))</f>
        <v>0</v>
      </c>
      <c r="T29" s="98" t="s">
        <v>1</v>
      </c>
      <c r="U29" s="97">
        <f>IF(Af_Aq,ROUND((VLOOKUP(($AB29*3/2),arts2,2)),0),VLOOKUP($AB29,arts2,2))</f>
        <v>0</v>
      </c>
      <c r="V29" s="98" t="s">
        <v>6</v>
      </c>
      <c r="W29" s="99">
        <f>IF(Af_Im,ROUND((VLOOKUP(($AD29*3/2),arts2,2)),0),VLOOKUP($AD29,arts2,2))</f>
        <v>0</v>
      </c>
      <c r="X29" s="10"/>
      <c r="Y29" s="4" t="s">
        <v>11</v>
      </c>
      <c r="Z29" s="133">
        <v>0</v>
      </c>
      <c r="AA29" s="34" t="s">
        <v>1</v>
      </c>
      <c r="AB29" s="133">
        <v>0</v>
      </c>
      <c r="AC29" s="34" t="s">
        <v>6</v>
      </c>
      <c r="AD29" s="131">
        <v>0</v>
      </c>
      <c r="AF29" s="88" t="s">
        <v>11</v>
      </c>
      <c r="AG29" s="59">
        <v>0</v>
      </c>
      <c r="AH29" s="89" t="s">
        <v>1</v>
      </c>
      <c r="AI29" s="59">
        <v>0</v>
      </c>
      <c r="AJ29" s="89" t="s">
        <v>6</v>
      </c>
      <c r="AK29" s="62">
        <v>0</v>
      </c>
    </row>
    <row r="30" spans="1:39">
      <c r="B30" s="4" t="s">
        <v>26</v>
      </c>
      <c r="C30" s="10"/>
      <c r="D30" s="10"/>
      <c r="E30" s="10"/>
      <c r="F30" s="10"/>
      <c r="G30" s="10"/>
      <c r="H30" s="25">
        <f>(MT+Pui_MT*2)*2</f>
        <v>0</v>
      </c>
      <c r="K30" s="31" t="s">
        <v>17</v>
      </c>
      <c r="L30" s="65">
        <v>0</v>
      </c>
      <c r="M30" s="33" t="s">
        <v>23</v>
      </c>
      <c r="N30" s="65">
        <v>0</v>
      </c>
      <c r="O30" s="33" t="s">
        <v>24</v>
      </c>
      <c r="P30" s="62">
        <v>0</v>
      </c>
      <c r="R30" s="96" t="s">
        <v>12</v>
      </c>
      <c r="S30" s="97">
        <f>IF(Af_Mu,ROUND((VLOOKUP(($Z30*3/2),arts2,2)),0),VLOOKUP($Z30,arts2,2))</f>
        <v>0</v>
      </c>
      <c r="T30" s="98" t="s">
        <v>2</v>
      </c>
      <c r="U30" s="97">
        <f>IF(Af_Au,ROUND((VLOOKUP(($AB30*3/2),arts2,2)),0),VLOOKUP($AB30,arts2,2))</f>
        <v>0</v>
      </c>
      <c r="V30" s="98" t="s">
        <v>7</v>
      </c>
      <c r="W30" s="99">
        <f>IF(Af_Me,ROUND((VLOOKUP(($AD30*3/2),arts2,2)),0),VLOOKUP($AD30,arts2,2))</f>
        <v>0</v>
      </c>
      <c r="X30" s="10"/>
      <c r="Y30" s="4" t="s">
        <v>12</v>
      </c>
      <c r="Z30" s="133">
        <v>0</v>
      </c>
      <c r="AA30" s="34" t="s">
        <v>2</v>
      </c>
      <c r="AB30" s="133">
        <v>0</v>
      </c>
      <c r="AC30" s="34" t="s">
        <v>7</v>
      </c>
      <c r="AD30" s="131">
        <v>0</v>
      </c>
      <c r="AF30" s="88" t="s">
        <v>12</v>
      </c>
      <c r="AG30" s="59">
        <v>0</v>
      </c>
      <c r="AH30" s="89" t="s">
        <v>2</v>
      </c>
      <c r="AI30" s="59">
        <v>0</v>
      </c>
      <c r="AJ30" s="89" t="s">
        <v>7</v>
      </c>
      <c r="AK30" s="62">
        <v>0</v>
      </c>
    </row>
    <row r="31" spans="1:39" ht="13.5" thickBot="1">
      <c r="B31" s="5" t="s">
        <v>25</v>
      </c>
      <c r="C31" s="28"/>
      <c r="D31" s="28"/>
      <c r="E31" s="28"/>
      <c r="F31" s="28"/>
      <c r="G31" s="28"/>
      <c r="H31" s="26">
        <f>Qui+Fin</f>
        <v>0</v>
      </c>
      <c r="K31" s="31" t="s">
        <v>41</v>
      </c>
      <c r="L31" s="65">
        <v>0</v>
      </c>
      <c r="M31" s="33" t="s">
        <v>15</v>
      </c>
      <c r="N31" s="65">
        <v>0</v>
      </c>
      <c r="O31" s="33" t="s">
        <v>66</v>
      </c>
      <c r="P31" s="62">
        <v>0</v>
      </c>
      <c r="R31" s="96" t="s">
        <v>13</v>
      </c>
      <c r="S31" s="97">
        <f>IF(Af_Pe,ROUND((VLOOKUP(($Z31*3/2),arts2,2)),0),VLOOKUP($Z31,arts2,2))</f>
        <v>0</v>
      </c>
      <c r="T31" s="98" t="s">
        <v>3</v>
      </c>
      <c r="U31" s="97">
        <f>IF(Af_Co,ROUND((VLOOKUP(($AB31*3/2),arts2,2)),0),VLOOKUP($AB31,arts2,2))</f>
        <v>0</v>
      </c>
      <c r="V31" s="98" t="s">
        <v>8</v>
      </c>
      <c r="W31" s="99">
        <f>IF(Af_Te,ROUND((VLOOKUP(($AD31*3/2),arts2,2)),0),VLOOKUP($AD31,arts2,2))</f>
        <v>0</v>
      </c>
      <c r="X31" s="10"/>
      <c r="Y31" s="4" t="s">
        <v>13</v>
      </c>
      <c r="Z31" s="133">
        <v>0</v>
      </c>
      <c r="AA31" s="34" t="s">
        <v>3</v>
      </c>
      <c r="AB31" s="133">
        <v>0</v>
      </c>
      <c r="AC31" s="34" t="s">
        <v>8</v>
      </c>
      <c r="AD31" s="131">
        <v>0</v>
      </c>
      <c r="AF31" s="88" t="s">
        <v>13</v>
      </c>
      <c r="AG31" s="59">
        <v>0</v>
      </c>
      <c r="AH31" s="89" t="s">
        <v>3</v>
      </c>
      <c r="AI31" s="59">
        <v>0</v>
      </c>
      <c r="AJ31" s="89" t="s">
        <v>8</v>
      </c>
      <c r="AK31" s="62">
        <v>0</v>
      </c>
    </row>
    <row r="32" spans="1:39" ht="13.5" thickBot="1">
      <c r="B32" s="10"/>
      <c r="C32" s="10"/>
      <c r="D32" s="10"/>
      <c r="E32" s="10"/>
      <c r="F32" s="10"/>
      <c r="G32" s="10"/>
      <c r="H32" s="10"/>
      <c r="K32" s="67" t="s">
        <v>47</v>
      </c>
      <c r="L32" s="68"/>
      <c r="M32" s="68"/>
      <c r="N32" s="68"/>
      <c r="O32" s="69"/>
      <c r="P32" s="81" t="b">
        <v>0</v>
      </c>
      <c r="R32" s="100" t="s">
        <v>14</v>
      </c>
      <c r="S32" s="101">
        <f>IF(Af_Re,ROUND((VLOOKUP(($Z32*3/2),arts2,2)),0),VLOOKUP($Z32,arts2,2))</f>
        <v>0</v>
      </c>
      <c r="T32" s="102" t="s">
        <v>4</v>
      </c>
      <c r="U32" s="101">
        <f>IF(Af_He,ROUND((VLOOKUP(($AB32*3/2),arts2,2)),0),VLOOKUP($AB32,arts2,2))</f>
        <v>0</v>
      </c>
      <c r="V32" s="102" t="s">
        <v>9</v>
      </c>
      <c r="W32" s="103">
        <f>IF(Af_Vi,ROUND((VLOOKUP(($AD32*3/2),arts2,2)),0),VLOOKUP($AD32,arts2,2))</f>
        <v>0</v>
      </c>
      <c r="X32" s="10"/>
      <c r="Y32" s="5" t="s">
        <v>14</v>
      </c>
      <c r="Z32" s="134">
        <v>0</v>
      </c>
      <c r="AA32" s="57" t="s">
        <v>4</v>
      </c>
      <c r="AB32" s="134">
        <v>0</v>
      </c>
      <c r="AC32" s="57" t="s">
        <v>9</v>
      </c>
      <c r="AD32" s="136">
        <v>0</v>
      </c>
      <c r="AF32" s="90" t="s">
        <v>14</v>
      </c>
      <c r="AG32" s="60">
        <v>0</v>
      </c>
      <c r="AH32" s="91" t="s">
        <v>4</v>
      </c>
      <c r="AI32" s="60">
        <v>0</v>
      </c>
      <c r="AJ32" s="91" t="s">
        <v>9</v>
      </c>
      <c r="AK32" s="63">
        <v>0</v>
      </c>
    </row>
    <row r="33" spans="1:30">
      <c r="B33" s="20" t="s">
        <v>55</v>
      </c>
      <c r="X33" s="55"/>
      <c r="Y33" s="10"/>
    </row>
    <row r="34" spans="1:30">
      <c r="A34" s="73"/>
      <c r="C34" s="73"/>
      <c r="D34" s="73"/>
      <c r="E34" s="73"/>
      <c r="F34" s="73"/>
      <c r="G34" s="73"/>
      <c r="H34" s="73"/>
      <c r="I34" s="73"/>
      <c r="J34" s="39"/>
      <c r="K34" s="72"/>
      <c r="L34" s="73"/>
      <c r="M34" s="73"/>
      <c r="N34" s="73"/>
      <c r="O34" s="73"/>
      <c r="P34" s="73"/>
      <c r="Q34" s="73"/>
      <c r="Y34" s="107"/>
      <c r="Z34" s="73"/>
      <c r="AA34" s="73"/>
      <c r="AB34" s="73"/>
      <c r="AC34" s="73"/>
      <c r="AD34" s="113"/>
    </row>
    <row r="35" spans="1:30">
      <c r="A35" s="73"/>
      <c r="B35" s="21" t="s">
        <v>56</v>
      </c>
      <c r="C35" s="73"/>
      <c r="D35" s="73"/>
      <c r="E35" s="104" t="s">
        <v>57</v>
      </c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</row>
    <row r="36" spans="1:30">
      <c r="A36" s="73"/>
      <c r="B36" s="21" t="s">
        <v>58</v>
      </c>
      <c r="C36" s="73"/>
      <c r="D36" s="73"/>
      <c r="E36" s="104" t="s">
        <v>59</v>
      </c>
      <c r="F36" s="73"/>
      <c r="G36" s="73"/>
      <c r="H36" s="73"/>
      <c r="I36" s="73"/>
      <c r="J36" s="73"/>
      <c r="K36" s="72"/>
      <c r="L36" s="74"/>
      <c r="M36" s="72"/>
      <c r="N36" s="74"/>
      <c r="O36" s="72"/>
      <c r="P36" s="74"/>
      <c r="Q36" s="73"/>
    </row>
    <row r="37" spans="1:30">
      <c r="A37" s="73"/>
      <c r="B37" s="73" t="s">
        <v>60</v>
      </c>
      <c r="C37" s="73"/>
      <c r="D37" s="73"/>
      <c r="E37" s="104" t="s">
        <v>61</v>
      </c>
      <c r="F37" s="73"/>
      <c r="G37" s="73"/>
      <c r="H37" s="73"/>
      <c r="I37" s="73"/>
      <c r="J37" s="73"/>
      <c r="K37" s="72"/>
      <c r="L37" s="74"/>
      <c r="M37" s="72"/>
      <c r="N37" s="74"/>
      <c r="O37" s="72"/>
      <c r="P37" s="74"/>
      <c r="Q37" s="73"/>
    </row>
    <row r="38" spans="1:30">
      <c r="A38" s="73"/>
      <c r="B38" s="73" t="s">
        <v>62</v>
      </c>
      <c r="C38" s="73"/>
      <c r="D38" s="73"/>
      <c r="E38" s="104" t="s">
        <v>63</v>
      </c>
      <c r="F38" s="73"/>
      <c r="G38" s="73"/>
      <c r="H38" s="73"/>
      <c r="I38" s="73"/>
      <c r="J38" s="73"/>
      <c r="K38" s="72"/>
      <c r="L38" s="74"/>
      <c r="M38" s="72"/>
      <c r="N38" s="74"/>
      <c r="O38" s="72"/>
      <c r="P38" s="74"/>
      <c r="Q38" s="73"/>
      <c r="R38" s="21" t="s">
        <v>52</v>
      </c>
    </row>
    <row r="39" spans="1:30">
      <c r="A39" s="73"/>
      <c r="B39" s="73" t="s">
        <v>64</v>
      </c>
      <c r="C39" s="73"/>
      <c r="D39" s="73"/>
      <c r="E39" s="104" t="s">
        <v>65</v>
      </c>
      <c r="F39" s="73"/>
      <c r="G39" s="73"/>
      <c r="H39" s="73"/>
      <c r="I39" s="73"/>
      <c r="J39" s="73"/>
      <c r="K39" s="72"/>
      <c r="L39" s="74"/>
      <c r="M39" s="72"/>
      <c r="N39" s="74"/>
      <c r="O39" s="72"/>
      <c r="P39" s="74"/>
      <c r="Q39" s="73"/>
      <c r="R39" s="66" t="s">
        <v>53</v>
      </c>
    </row>
    <row r="40" spans="1:30">
      <c r="A40" s="73"/>
      <c r="B40" s="73"/>
      <c r="C40" s="73"/>
      <c r="D40" s="73"/>
      <c r="E40" s="73"/>
      <c r="F40" s="73"/>
      <c r="G40" s="73"/>
      <c r="H40" s="73"/>
      <c r="I40" s="73"/>
      <c r="J40" s="73"/>
      <c r="K40" s="72"/>
      <c r="L40" s="74"/>
      <c r="M40" s="72"/>
      <c r="N40" s="74"/>
      <c r="O40" s="72"/>
      <c r="P40" s="74"/>
      <c r="Q40" s="73"/>
    </row>
  </sheetData>
  <sheetProtection sheet="1" objects="1" scenarios="1"/>
  <mergeCells count="3">
    <mergeCell ref="AC22:AD22"/>
    <mergeCell ref="AC23:AD23"/>
    <mergeCell ref="AC24:AD24"/>
  </mergeCells>
  <phoneticPr fontId="0" type="noConversion"/>
  <hyperlinks>
    <hyperlink ref="R39" r:id="rId1"/>
  </hyperlinks>
  <pageMargins left="0.75" right="0.75" top="1" bottom="1" header="0.5" footer="0.5"/>
  <pageSetup paperSize="9" orientation="portrait" horizontalDpi="4294967293" verticalDpi="300" r:id="rId2"/>
  <headerFooter alignWithMargins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53"/>
  <sheetViews>
    <sheetView workbookViewId="0">
      <selection sqref="A1:C1"/>
    </sheetView>
  </sheetViews>
  <sheetFormatPr defaultRowHeight="12.75"/>
  <cols>
    <col min="1" max="1" width="5.5703125" bestFit="1" customWidth="1"/>
    <col min="2" max="2" width="6.140625" bestFit="1" customWidth="1"/>
    <col min="3" max="3" width="7.140625" bestFit="1" customWidth="1"/>
  </cols>
  <sheetData>
    <row r="1" spans="1:3">
      <c r="A1" s="145" t="s">
        <v>34</v>
      </c>
      <c r="B1" s="146"/>
      <c r="C1" s="147"/>
    </row>
    <row r="2" spans="1:3">
      <c r="A2" s="44" t="s">
        <v>35</v>
      </c>
      <c r="B2" s="45" t="s">
        <v>36</v>
      </c>
      <c r="C2" s="46" t="s">
        <v>37</v>
      </c>
    </row>
    <row r="3" spans="1:3">
      <c r="A3" s="50">
        <v>0</v>
      </c>
      <c r="B3" s="51">
        <v>0</v>
      </c>
      <c r="C3" s="54">
        <v>0</v>
      </c>
    </row>
    <row r="4" spans="1:3">
      <c r="A4" s="47">
        <v>1</v>
      </c>
      <c r="B4" s="48">
        <f>A4</f>
        <v>1</v>
      </c>
      <c r="C4" s="49">
        <v>1</v>
      </c>
    </row>
    <row r="5" spans="1:3">
      <c r="A5" s="50">
        <v>2</v>
      </c>
      <c r="B5" s="51">
        <f>$B4+$A5</f>
        <v>3</v>
      </c>
      <c r="C5" s="52">
        <v>2</v>
      </c>
    </row>
    <row r="6" spans="1:3">
      <c r="A6" s="50">
        <v>3</v>
      </c>
      <c r="B6" s="51">
        <f>$B5+$A6</f>
        <v>6</v>
      </c>
      <c r="C6" s="52">
        <v>3</v>
      </c>
    </row>
    <row r="7" spans="1:3">
      <c r="A7" s="50">
        <v>4</v>
      </c>
      <c r="B7" s="51">
        <f t="shared" ref="B7:B52" si="0">$B6+$A7</f>
        <v>10</v>
      </c>
      <c r="C7" s="52">
        <v>4</v>
      </c>
    </row>
    <row r="8" spans="1:3">
      <c r="A8" s="50">
        <v>5</v>
      </c>
      <c r="B8" s="51">
        <f t="shared" si="0"/>
        <v>15</v>
      </c>
      <c r="C8" s="52">
        <v>5</v>
      </c>
    </row>
    <row r="9" spans="1:3">
      <c r="A9" s="50">
        <v>6</v>
      </c>
      <c r="B9" s="51">
        <f t="shared" si="0"/>
        <v>21</v>
      </c>
      <c r="C9" s="52">
        <v>6</v>
      </c>
    </row>
    <row r="10" spans="1:3">
      <c r="A10" s="50">
        <v>7</v>
      </c>
      <c r="B10" s="51">
        <f t="shared" si="0"/>
        <v>28</v>
      </c>
      <c r="C10" s="52">
        <v>7</v>
      </c>
    </row>
    <row r="11" spans="1:3">
      <c r="A11" s="50">
        <v>8</v>
      </c>
      <c r="B11" s="51">
        <f t="shared" si="0"/>
        <v>36</v>
      </c>
      <c r="C11" s="52">
        <v>8</v>
      </c>
    </row>
    <row r="12" spans="1:3">
      <c r="A12" s="50">
        <v>9</v>
      </c>
      <c r="B12" s="51">
        <f t="shared" si="0"/>
        <v>45</v>
      </c>
      <c r="C12" s="52">
        <v>9</v>
      </c>
    </row>
    <row r="13" spans="1:3">
      <c r="A13" s="50">
        <v>10</v>
      </c>
      <c r="B13" s="51">
        <f t="shared" si="0"/>
        <v>55</v>
      </c>
      <c r="C13" s="52">
        <v>10</v>
      </c>
    </row>
    <row r="14" spans="1:3">
      <c r="A14" s="50">
        <v>11</v>
      </c>
      <c r="B14" s="51">
        <f t="shared" si="0"/>
        <v>66</v>
      </c>
      <c r="C14" s="52">
        <v>11</v>
      </c>
    </row>
    <row r="15" spans="1:3">
      <c r="A15" s="50">
        <v>12</v>
      </c>
      <c r="B15" s="51">
        <f t="shared" si="0"/>
        <v>78</v>
      </c>
      <c r="C15" s="52">
        <v>12</v>
      </c>
    </row>
    <row r="16" spans="1:3">
      <c r="A16" s="50">
        <v>13</v>
      </c>
      <c r="B16" s="51">
        <f t="shared" si="0"/>
        <v>91</v>
      </c>
      <c r="C16" s="52">
        <v>13</v>
      </c>
    </row>
    <row r="17" spans="1:3">
      <c r="A17" s="50">
        <v>14</v>
      </c>
      <c r="B17" s="51">
        <f t="shared" si="0"/>
        <v>105</v>
      </c>
      <c r="C17" s="52">
        <v>14</v>
      </c>
    </row>
    <row r="18" spans="1:3">
      <c r="A18" s="50">
        <v>15</v>
      </c>
      <c r="B18" s="51">
        <f t="shared" si="0"/>
        <v>120</v>
      </c>
      <c r="C18" s="52">
        <v>15</v>
      </c>
    </row>
    <row r="19" spans="1:3">
      <c r="A19" s="50">
        <v>16</v>
      </c>
      <c r="B19" s="51">
        <f t="shared" si="0"/>
        <v>136</v>
      </c>
      <c r="C19" s="52">
        <v>16</v>
      </c>
    </row>
    <row r="20" spans="1:3">
      <c r="A20" s="50">
        <v>17</v>
      </c>
      <c r="B20" s="51">
        <f t="shared" si="0"/>
        <v>153</v>
      </c>
      <c r="C20" s="52">
        <v>17</v>
      </c>
    </row>
    <row r="21" spans="1:3">
      <c r="A21" s="50">
        <v>18</v>
      </c>
      <c r="B21" s="51">
        <f t="shared" si="0"/>
        <v>171</v>
      </c>
      <c r="C21" s="52">
        <v>18</v>
      </c>
    </row>
    <row r="22" spans="1:3">
      <c r="A22" s="50">
        <v>19</v>
      </c>
      <c r="B22" s="51">
        <f t="shared" si="0"/>
        <v>190</v>
      </c>
      <c r="C22" s="52">
        <v>19</v>
      </c>
    </row>
    <row r="23" spans="1:3">
      <c r="A23" s="50">
        <v>20</v>
      </c>
      <c r="B23" s="51">
        <f t="shared" si="0"/>
        <v>210</v>
      </c>
      <c r="C23" s="52">
        <v>20</v>
      </c>
    </row>
    <row r="24" spans="1:3">
      <c r="A24" s="50">
        <v>21</v>
      </c>
      <c r="B24" s="51">
        <f t="shared" si="0"/>
        <v>231</v>
      </c>
      <c r="C24" s="52">
        <v>21</v>
      </c>
    </row>
    <row r="25" spans="1:3">
      <c r="A25" s="50">
        <v>22</v>
      </c>
      <c r="B25" s="51">
        <f t="shared" si="0"/>
        <v>253</v>
      </c>
      <c r="C25" s="52">
        <v>22</v>
      </c>
    </row>
    <row r="26" spans="1:3">
      <c r="A26" s="50">
        <v>23</v>
      </c>
      <c r="B26" s="51">
        <f t="shared" si="0"/>
        <v>276</v>
      </c>
      <c r="C26" s="52">
        <v>23</v>
      </c>
    </row>
    <row r="27" spans="1:3">
      <c r="A27" s="50">
        <v>24</v>
      </c>
      <c r="B27" s="51">
        <f t="shared" si="0"/>
        <v>300</v>
      </c>
      <c r="C27" s="52">
        <v>24</v>
      </c>
    </row>
    <row r="28" spans="1:3">
      <c r="A28" s="50">
        <v>25</v>
      </c>
      <c r="B28" s="51">
        <f t="shared" si="0"/>
        <v>325</v>
      </c>
      <c r="C28" s="52">
        <v>25</v>
      </c>
    </row>
    <row r="29" spans="1:3">
      <c r="A29" s="50">
        <v>26</v>
      </c>
      <c r="B29" s="51">
        <f t="shared" si="0"/>
        <v>351</v>
      </c>
      <c r="C29" s="52">
        <v>26</v>
      </c>
    </row>
    <row r="30" spans="1:3">
      <c r="A30" s="50">
        <v>27</v>
      </c>
      <c r="B30" s="51">
        <f t="shared" si="0"/>
        <v>378</v>
      </c>
      <c r="C30" s="52">
        <v>27</v>
      </c>
    </row>
    <row r="31" spans="1:3">
      <c r="A31" s="50">
        <v>28</v>
      </c>
      <c r="B31" s="51">
        <f t="shared" si="0"/>
        <v>406</v>
      </c>
      <c r="C31" s="52">
        <v>28</v>
      </c>
    </row>
    <row r="32" spans="1:3">
      <c r="A32" s="50">
        <v>29</v>
      </c>
      <c r="B32" s="51">
        <f t="shared" si="0"/>
        <v>435</v>
      </c>
      <c r="C32" s="52">
        <v>29</v>
      </c>
    </row>
    <row r="33" spans="1:3">
      <c r="A33" s="50">
        <v>30</v>
      </c>
      <c r="B33" s="51">
        <f t="shared" si="0"/>
        <v>465</v>
      </c>
      <c r="C33" s="52">
        <v>30</v>
      </c>
    </row>
    <row r="34" spans="1:3">
      <c r="A34" s="50">
        <v>31</v>
      </c>
      <c r="B34" s="51">
        <f t="shared" si="0"/>
        <v>496</v>
      </c>
      <c r="C34" s="52">
        <v>31</v>
      </c>
    </row>
    <row r="35" spans="1:3">
      <c r="A35" s="50">
        <v>32</v>
      </c>
      <c r="B35" s="51">
        <f t="shared" si="0"/>
        <v>528</v>
      </c>
      <c r="C35" s="52">
        <v>32</v>
      </c>
    </row>
    <row r="36" spans="1:3">
      <c r="A36" s="50">
        <v>33</v>
      </c>
      <c r="B36" s="51">
        <f t="shared" si="0"/>
        <v>561</v>
      </c>
      <c r="C36" s="52">
        <v>33</v>
      </c>
    </row>
    <row r="37" spans="1:3">
      <c r="A37" s="50">
        <v>34</v>
      </c>
      <c r="B37" s="51">
        <f t="shared" si="0"/>
        <v>595</v>
      </c>
      <c r="C37" s="52">
        <v>34</v>
      </c>
    </row>
    <row r="38" spans="1:3">
      <c r="A38" s="50">
        <v>35</v>
      </c>
      <c r="B38" s="51">
        <f t="shared" si="0"/>
        <v>630</v>
      </c>
      <c r="C38" s="52">
        <v>35</v>
      </c>
    </row>
    <row r="39" spans="1:3">
      <c r="A39" s="50">
        <v>36</v>
      </c>
      <c r="B39" s="51">
        <f t="shared" si="0"/>
        <v>666</v>
      </c>
      <c r="C39" s="52">
        <v>36</v>
      </c>
    </row>
    <row r="40" spans="1:3">
      <c r="A40" s="50">
        <v>37</v>
      </c>
      <c r="B40" s="51">
        <f t="shared" si="0"/>
        <v>703</v>
      </c>
      <c r="C40" s="52">
        <v>37</v>
      </c>
    </row>
    <row r="41" spans="1:3">
      <c r="A41" s="50">
        <v>38</v>
      </c>
      <c r="B41" s="51">
        <f t="shared" si="0"/>
        <v>741</v>
      </c>
      <c r="C41" s="52">
        <v>38</v>
      </c>
    </row>
    <row r="42" spans="1:3">
      <c r="A42" s="50">
        <v>39</v>
      </c>
      <c r="B42" s="51">
        <f t="shared" si="0"/>
        <v>780</v>
      </c>
      <c r="C42" s="52">
        <v>39</v>
      </c>
    </row>
    <row r="43" spans="1:3">
      <c r="A43" s="50">
        <v>40</v>
      </c>
      <c r="B43" s="51">
        <f t="shared" si="0"/>
        <v>820</v>
      </c>
      <c r="C43" s="52">
        <v>40</v>
      </c>
    </row>
    <row r="44" spans="1:3">
      <c r="A44" s="50">
        <v>41</v>
      </c>
      <c r="B44" s="51">
        <f t="shared" si="0"/>
        <v>861</v>
      </c>
      <c r="C44" s="52">
        <v>41</v>
      </c>
    </row>
    <row r="45" spans="1:3">
      <c r="A45" s="50">
        <v>42</v>
      </c>
      <c r="B45" s="51">
        <f t="shared" si="0"/>
        <v>903</v>
      </c>
      <c r="C45" s="52">
        <v>42</v>
      </c>
    </row>
    <row r="46" spans="1:3">
      <c r="A46" s="50">
        <v>43</v>
      </c>
      <c r="B46" s="51">
        <f t="shared" si="0"/>
        <v>946</v>
      </c>
      <c r="C46" s="52">
        <v>43</v>
      </c>
    </row>
    <row r="47" spans="1:3">
      <c r="A47" s="50">
        <v>44</v>
      </c>
      <c r="B47" s="51">
        <f t="shared" si="0"/>
        <v>990</v>
      </c>
      <c r="C47" s="52">
        <v>44</v>
      </c>
    </row>
    <row r="48" spans="1:3">
      <c r="A48" s="50">
        <v>45</v>
      </c>
      <c r="B48" s="51">
        <f t="shared" si="0"/>
        <v>1035</v>
      </c>
      <c r="C48" s="52">
        <v>45</v>
      </c>
    </row>
    <row r="49" spans="1:3">
      <c r="A49" s="50">
        <v>46</v>
      </c>
      <c r="B49" s="51">
        <f t="shared" si="0"/>
        <v>1081</v>
      </c>
      <c r="C49" s="52">
        <v>46</v>
      </c>
    </row>
    <row r="50" spans="1:3">
      <c r="A50" s="50">
        <v>47</v>
      </c>
      <c r="B50" s="51">
        <f t="shared" si="0"/>
        <v>1128</v>
      </c>
      <c r="C50" s="52">
        <v>47</v>
      </c>
    </row>
    <row r="51" spans="1:3">
      <c r="A51" s="50">
        <v>48</v>
      </c>
      <c r="B51" s="51">
        <f t="shared" si="0"/>
        <v>1176</v>
      </c>
      <c r="C51" s="52">
        <v>48</v>
      </c>
    </row>
    <row r="52" spans="1:3">
      <c r="A52" s="50">
        <v>49</v>
      </c>
      <c r="B52" s="51">
        <f t="shared" si="0"/>
        <v>1225</v>
      </c>
      <c r="C52" s="52">
        <v>49</v>
      </c>
    </row>
    <row r="53" spans="1:3">
      <c r="A53" s="44">
        <v>50</v>
      </c>
      <c r="B53" s="45">
        <f>$B52+$A53</f>
        <v>1275</v>
      </c>
      <c r="C53" s="53">
        <v>50</v>
      </c>
    </row>
  </sheetData>
  <mergeCells count="1">
    <mergeCell ref="A1:C1"/>
  </mergeCells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96</vt:i4>
      </vt:variant>
    </vt:vector>
  </HeadingPairs>
  <TitlesOfParts>
    <vt:vector size="98" baseType="lpstr">
      <vt:lpstr>Magic Totals</vt:lpstr>
      <vt:lpstr>Tables</vt:lpstr>
      <vt:lpstr>Af_An</vt:lpstr>
      <vt:lpstr>Af_Aq</vt:lpstr>
      <vt:lpstr>Af_Au</vt:lpstr>
      <vt:lpstr>Af_Co</vt:lpstr>
      <vt:lpstr>Af_Cr</vt:lpstr>
      <vt:lpstr>Af_He</vt:lpstr>
      <vt:lpstr>Af_Ig</vt:lpstr>
      <vt:lpstr>Af_Im</vt:lpstr>
      <vt:lpstr>Af_In</vt:lpstr>
      <vt:lpstr>Af_Me</vt:lpstr>
      <vt:lpstr>Af_Mu</vt:lpstr>
      <vt:lpstr>Af_Pe</vt:lpstr>
      <vt:lpstr>Af_Re</vt:lpstr>
      <vt:lpstr>Af_Te</vt:lpstr>
      <vt:lpstr>Af_Vi</vt:lpstr>
      <vt:lpstr>ALi</vt:lpstr>
      <vt:lpstr>An</vt:lpstr>
      <vt:lpstr>Aq</vt:lpstr>
      <vt:lpstr>arts1</vt:lpstr>
      <vt:lpstr>arts2</vt:lpstr>
      <vt:lpstr>artscost</vt:lpstr>
      <vt:lpstr>Au</vt:lpstr>
      <vt:lpstr>Aura</vt:lpstr>
      <vt:lpstr>Co</vt:lpstr>
      <vt:lpstr>Con</vt:lpstr>
      <vt:lpstr>Cr</vt:lpstr>
      <vt:lpstr>EffLvl</vt:lpstr>
      <vt:lpstr>Enc</vt:lpstr>
      <vt:lpstr>EncTal</vt:lpstr>
      <vt:lpstr>Fin</vt:lpstr>
      <vt:lpstr>He</vt:lpstr>
      <vt:lpstr>Ig</vt:lpstr>
      <vt:lpstr>IGen</vt:lpstr>
      <vt:lpstr>Im</vt:lpstr>
      <vt:lpstr>In</vt:lpstr>
      <vt:lpstr>Int</vt:lpstr>
      <vt:lpstr>LTAn</vt:lpstr>
      <vt:lpstr>LTAq</vt:lpstr>
      <vt:lpstr>LTAu</vt:lpstr>
      <vt:lpstr>LTCo</vt:lpstr>
      <vt:lpstr>LTCr</vt:lpstr>
      <vt:lpstr>LTHe</vt:lpstr>
      <vt:lpstr>LTIg</vt:lpstr>
      <vt:lpstr>LTIm</vt:lpstr>
      <vt:lpstr>LTIn</vt:lpstr>
      <vt:lpstr>LTMe</vt:lpstr>
      <vt:lpstr>LTMu</vt:lpstr>
      <vt:lpstr>LTPe</vt:lpstr>
      <vt:lpstr>LTRe</vt:lpstr>
      <vt:lpstr>LTTe</vt:lpstr>
      <vt:lpstr>LTVi</vt:lpstr>
      <vt:lpstr>Me</vt:lpstr>
      <vt:lpstr>MT</vt:lpstr>
      <vt:lpstr>Mu</vt:lpstr>
      <vt:lpstr>Pe</vt:lpstr>
      <vt:lpstr>Per</vt:lpstr>
      <vt:lpstr>Phi</vt:lpstr>
      <vt:lpstr>pointsleft</vt:lpstr>
      <vt:lpstr>'Magic Totals'!Print_Area</vt:lpstr>
      <vt:lpstr>Pui_An</vt:lpstr>
      <vt:lpstr>Pui_Aq</vt:lpstr>
      <vt:lpstr>Pui_Au</vt:lpstr>
      <vt:lpstr>Pui_Co</vt:lpstr>
      <vt:lpstr>Pui_Cr</vt:lpstr>
      <vt:lpstr>Pui_He</vt:lpstr>
      <vt:lpstr>Pui_Ig</vt:lpstr>
      <vt:lpstr>Pui_Im</vt:lpstr>
      <vt:lpstr>Pui_In</vt:lpstr>
      <vt:lpstr>Pui_Me</vt:lpstr>
      <vt:lpstr>Pui_MT</vt:lpstr>
      <vt:lpstr>Pui_Mu</vt:lpstr>
      <vt:lpstr>Pui_Pe</vt:lpstr>
      <vt:lpstr>Pui_Re</vt:lpstr>
      <vt:lpstr>Pui_Te</vt:lpstr>
      <vt:lpstr>Pui_Vi</vt:lpstr>
      <vt:lpstr>Qui</vt:lpstr>
      <vt:lpstr>Re</vt:lpstr>
      <vt:lpstr>spendpoints</vt:lpstr>
      <vt:lpstr>Stm</vt:lpstr>
      <vt:lpstr>TAn</vt:lpstr>
      <vt:lpstr>TAq</vt:lpstr>
      <vt:lpstr>TAu</vt:lpstr>
      <vt:lpstr>TCo</vt:lpstr>
      <vt:lpstr>TCr</vt:lpstr>
      <vt:lpstr>Te</vt:lpstr>
      <vt:lpstr>THe</vt:lpstr>
      <vt:lpstr>TIg</vt:lpstr>
      <vt:lpstr>TIm</vt:lpstr>
      <vt:lpstr>TIn</vt:lpstr>
      <vt:lpstr>TMe</vt:lpstr>
      <vt:lpstr>TMu</vt:lpstr>
      <vt:lpstr>TPe</vt:lpstr>
      <vt:lpstr>TRe</vt:lpstr>
      <vt:lpstr>TTe</vt:lpstr>
      <vt:lpstr>TVi</vt:lpstr>
      <vt:lpstr>Vi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Antti</dc:creator>
  <cp:lastModifiedBy>Antti</cp:lastModifiedBy>
  <cp:lastPrinted>2007-01-08T20:08:44Z</cp:lastPrinted>
  <dcterms:created xsi:type="dcterms:W3CDTF">2001-02-10T17:13:26Z</dcterms:created>
  <dcterms:modified xsi:type="dcterms:W3CDTF">2007-10-29T23:49:08Z</dcterms:modified>
</cp:coreProperties>
</file>